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Y:\Quality\Conflict Minerals\"/>
    </mc:Choice>
  </mc:AlternateContent>
  <workbookProtection workbookPassword="E31B"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c r="B56" i="6"/>
  <c r="G56" i="6" s="1"/>
  <c r="B55" i="6"/>
  <c r="G55" i="6"/>
  <c r="B54" i="6"/>
  <c r="G54" i="6" s="1"/>
  <c r="B53" i="6"/>
  <c r="G53" i="6"/>
  <c r="B50" i="6"/>
  <c r="G50" i="6" s="1"/>
  <c r="H14" i="6"/>
  <c r="H61" i="4"/>
  <c r="B86" i="4"/>
  <c r="B33" i="6" l="1"/>
  <c r="B23" i="6"/>
  <c r="B48" i="6" s="1"/>
  <c r="B43" i="6"/>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B38" i="6"/>
  <c r="G38" i="6" s="1"/>
  <c r="B28" i="6"/>
  <c r="C13" i="6"/>
  <c r="C12" i="6"/>
  <c r="C11"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104" i="5"/>
  <c r="B101" i="5"/>
  <c r="C89" i="5"/>
  <c r="B88" i="5"/>
  <c r="B85" i="5"/>
  <c r="B74" i="5"/>
  <c r="B69" i="5"/>
  <c r="C68" i="5"/>
  <c r="C66" i="5"/>
  <c r="C61" i="5"/>
  <c r="B60" i="5"/>
  <c r="C58" i="5"/>
  <c r="C54" i="5"/>
  <c r="C53" i="5"/>
  <c r="C50" i="5"/>
  <c r="C46" i="5"/>
  <c r="C45" i="5"/>
  <c r="B42" i="5"/>
  <c r="B38" i="5"/>
  <c r="C37" i="5"/>
  <c r="C35" i="5"/>
  <c r="C33" i="5"/>
  <c r="B31"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C105" i="5"/>
  <c r="C86" i="5"/>
  <c r="C84" i="5"/>
  <c r="C78" i="5"/>
  <c r="B76" i="5"/>
  <c r="B72" i="5"/>
  <c r="B67" i="5"/>
  <c r="B64" i="5"/>
  <c r="C63" i="5"/>
  <c r="B59" i="5"/>
  <c r="C57" i="5"/>
  <c r="B56" i="5"/>
  <c r="B55" i="5"/>
  <c r="B51" i="5"/>
  <c r="C49" i="5"/>
  <c r="B47" i="5"/>
  <c r="C41" i="5"/>
  <c r="C39" i="5"/>
  <c r="B36" i="5"/>
  <c r="B34" i="5"/>
  <c r="B32"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F41" i="6"/>
  <c r="B41" i="6"/>
  <c r="F63" i="6"/>
  <c r="G21" i="6"/>
  <c r="H21" i="6" s="1"/>
  <c r="B26" i="6"/>
  <c r="B36" i="6"/>
  <c r="B46" i="6"/>
  <c r="G46" i="6" s="1"/>
  <c r="G31" i="6"/>
  <c r="H22" i="6"/>
  <c r="D22" i="6" s="1"/>
  <c r="G47" i="6"/>
  <c r="G42" i="6"/>
  <c r="G26" i="6"/>
  <c r="H26" i="6" s="1"/>
  <c r="C26" i="6" s="1"/>
  <c r="K65" i="6"/>
  <c r="C65" i="6" s="1"/>
  <c r="G27" i="6"/>
  <c r="G32" i="6"/>
  <c r="G43"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2" i="6" l="1"/>
  <c r="H25" i="6"/>
  <c r="C25" i="6" s="1"/>
  <c r="H36" i="6"/>
  <c r="C36" i="6" s="1"/>
  <c r="H41" i="6"/>
  <c r="D25" i="6"/>
  <c r="V57" i="5"/>
  <c r="R57" i="5" s="1"/>
  <c r="V541" i="5"/>
  <c r="F541" i="5" s="1"/>
  <c r="V73" i="5"/>
  <c r="R73" i="5" s="1"/>
  <c r="V33" i="5"/>
  <c r="G33" i="5" s="1"/>
  <c r="V17" i="5"/>
  <c r="V468" i="5"/>
  <c r="E468" i="5" s="1"/>
  <c r="AB8" i="5"/>
  <c r="V28" i="5"/>
  <c r="AB67" i="5"/>
  <c r="AB23" i="5"/>
  <c r="AB35" i="5"/>
  <c r="V51" i="5"/>
  <c r="G51" i="5" s="1"/>
  <c r="AB58" i="5"/>
  <c r="V64" i="5"/>
  <c r="AB83" i="5"/>
  <c r="AB10" i="5"/>
  <c r="V12" i="5"/>
  <c r="AB20" i="5"/>
  <c r="AB42" i="5"/>
  <c r="V61" i="5"/>
  <c r="G61" i="5" s="1"/>
  <c r="AB101" i="5"/>
  <c r="V22" i="5"/>
  <c r="V6" i="5"/>
  <c r="V13" i="5"/>
  <c r="V18" i="5"/>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V21" i="5"/>
  <c r="V26" i="5"/>
  <c r="AB32" i="5"/>
  <c r="V41" i="5"/>
  <c r="AB55" i="5"/>
  <c r="V63" i="5"/>
  <c r="G63" i="5" s="1"/>
  <c r="AB76" i="5"/>
  <c r="V105" i="5"/>
  <c r="V27" i="5"/>
  <c r="AB33" i="5"/>
  <c r="AB37" i="5"/>
  <c r="V47" i="5"/>
  <c r="G47" i="5" s="1"/>
  <c r="AB54" i="5"/>
  <c r="AB61" i="5"/>
  <c r="V70" i="5"/>
  <c r="G70" i="5" s="1"/>
  <c r="V80" i="5"/>
  <c r="G80" i="5" s="1"/>
  <c r="V100" i="5"/>
  <c r="AB9" i="5"/>
  <c r="AB16" i="5"/>
  <c r="V30" i="5"/>
  <c r="V37" i="5"/>
  <c r="G37" i="5" s="1"/>
  <c r="V46" i="5"/>
  <c r="G46" i="5" s="1"/>
  <c r="V58" i="5"/>
  <c r="G58" i="5" s="1"/>
  <c r="V68" i="5"/>
  <c r="G68" i="5" s="1"/>
  <c r="AB88" i="5"/>
  <c r="AB5" i="5"/>
  <c r="V8" i="5"/>
  <c r="V9" i="5"/>
  <c r="V16" i="5"/>
  <c r="V20" i="5"/>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V34" i="5"/>
  <c r="G34" i="5" s="1"/>
  <c r="AB40" i="5"/>
  <c r="V48" i="5"/>
  <c r="V56" i="5"/>
  <c r="G56" i="5" s="1"/>
  <c r="AB62" i="5"/>
  <c r="AB71" i="5"/>
  <c r="AB82" i="5"/>
  <c r="AB106" i="5"/>
  <c r="AB11" i="5"/>
  <c r="AB18" i="5"/>
  <c r="AB31" i="5"/>
  <c r="AB38" i="5"/>
  <c r="V50" i="5"/>
  <c r="AB60" i="5"/>
  <c r="AB69" i="5"/>
  <c r="V89" i="5"/>
  <c r="V15" i="5"/>
  <c r="V10" i="5"/>
  <c r="V11" i="5"/>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V19" i="5"/>
  <c r="AB25" i="5"/>
  <c r="AB29" i="5"/>
  <c r="V39" i="5"/>
  <c r="AB51" i="5"/>
  <c r="AB59" i="5"/>
  <c r="AB72" i="5"/>
  <c r="V86" i="5"/>
  <c r="V25" i="5"/>
  <c r="V32" i="5"/>
  <c r="G32" i="5" s="1"/>
  <c r="V36" i="5"/>
  <c r="G36" i="5" s="1"/>
  <c r="AB46" i="5"/>
  <c r="AB53" i="5"/>
  <c r="V59" i="5"/>
  <c r="G59" i="5" s="1"/>
  <c r="AB66" i="5"/>
  <c r="V77" i="5"/>
  <c r="G77" i="5" s="1"/>
  <c r="V94" i="5"/>
  <c r="G94" i="5" s="1"/>
  <c r="V5" i="5"/>
  <c r="AB13" i="5"/>
  <c r="V23" i="5"/>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D35" i="6"/>
  <c r="C35" i="6"/>
  <c r="G57" i="5"/>
  <c r="I57" i="5"/>
  <c r="E57" i="5"/>
  <c r="I541" i="5"/>
  <c r="G541" i="5"/>
  <c r="E541" i="5"/>
  <c r="H541" i="5"/>
  <c r="J57" i="5"/>
  <c r="R541" i="5"/>
  <c r="F57" i="5"/>
  <c r="H57" i="5"/>
  <c r="G73" i="5"/>
  <c r="F468" i="5"/>
  <c r="J541" i="5"/>
  <c r="F73" i="5"/>
  <c r="H73" i="5"/>
  <c r="J73" i="5"/>
  <c r="I73" i="5"/>
  <c r="J33" i="5"/>
  <c r="R33" i="5"/>
  <c r="R17" i="5"/>
  <c r="F33" i="5"/>
  <c r="I33" i="5"/>
  <c r="E33" i="5"/>
  <c r="X33" i="5" s="1"/>
  <c r="E73" i="5"/>
  <c r="X73" i="5" s="1"/>
  <c r="J468" i="5"/>
  <c r="H468" i="5"/>
  <c r="R468" i="5"/>
  <c r="G468" i="5"/>
  <c r="I468"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R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R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R23" i="5"/>
  <c r="E94" i="5"/>
  <c r="H94" i="5"/>
  <c r="R94" i="5"/>
  <c r="I94" i="5"/>
  <c r="J94" i="5"/>
  <c r="F94" i="5"/>
  <c r="G86" i="5"/>
  <c r="G39"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R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R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R13" i="5"/>
  <c r="R22" i="5"/>
  <c r="H64" i="5"/>
  <c r="J64" i="5"/>
  <c r="E64" i="5"/>
  <c r="F64" i="5"/>
  <c r="R64" i="5"/>
  <c r="I64" i="5"/>
  <c r="R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R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R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R9" i="5"/>
  <c r="H58" i="5"/>
  <c r="R58" i="5"/>
  <c r="F58" i="5"/>
  <c r="E58" i="5"/>
  <c r="J58" i="5"/>
  <c r="I58" i="5"/>
  <c r="E37" i="5"/>
  <c r="H37" i="5"/>
  <c r="I37" i="5"/>
  <c r="R37" i="5"/>
  <c r="F37" i="5"/>
  <c r="J37" i="5"/>
  <c r="H70" i="5"/>
  <c r="J70" i="5"/>
  <c r="E70" i="5"/>
  <c r="I70" i="5"/>
  <c r="F70" i="5"/>
  <c r="R70" i="5"/>
  <c r="R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R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R20" i="5"/>
  <c r="R8" i="5"/>
  <c r="G100" i="5"/>
  <c r="E47" i="5"/>
  <c r="I47" i="5"/>
  <c r="R47" i="5"/>
  <c r="J47" i="5"/>
  <c r="H47" i="5"/>
  <c r="F4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R18" i="5"/>
  <c r="R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R10" i="5"/>
  <c r="G89" i="5"/>
  <c r="G50" i="5"/>
  <c r="G48" i="5"/>
  <c r="R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R30" i="5"/>
  <c r="R80" i="5"/>
  <c r="E80" i="5"/>
  <c r="H80" i="5"/>
  <c r="J80" i="5"/>
  <c r="I80" i="5"/>
  <c r="F80" i="5"/>
  <c r="G105" i="5"/>
  <c r="R26" i="5"/>
  <c r="R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80" i="5"/>
  <c r="T157" i="5"/>
  <c r="T82" i="5"/>
  <c r="T42" i="5"/>
  <c r="T565" i="5"/>
  <c r="T455" i="5"/>
  <c r="T140" i="5"/>
  <c r="T270" i="5"/>
  <c r="T103" i="5"/>
  <c r="T558" i="5"/>
  <c r="T442" i="5"/>
  <c r="T353" i="5"/>
  <c r="T194" i="5"/>
  <c r="T160" i="5"/>
  <c r="T101" i="5"/>
  <c r="T44" i="5"/>
  <c r="T161" i="5"/>
  <c r="T46" i="5"/>
  <c r="T133" i="5"/>
  <c r="T499" i="5"/>
  <c r="T381" i="5"/>
  <c r="T35" i="5"/>
  <c r="T512" i="5"/>
  <c r="T458" i="5"/>
  <c r="T158"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177" i="5"/>
  <c r="T86" i="5"/>
  <c r="T39" i="5"/>
  <c r="T84" i="5"/>
  <c r="T529" i="5"/>
  <c r="T377" i="5"/>
  <c r="T384" i="5"/>
  <c r="T240" i="5"/>
  <c r="S541" i="5"/>
  <c r="T554" i="5"/>
  <c r="T585" i="5"/>
  <c r="T454" i="5"/>
  <c r="T439" i="5"/>
  <c r="T359" i="5"/>
  <c r="T250"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05" i="5"/>
  <c r="T268"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169" i="5"/>
  <c r="T178" i="5"/>
  <c r="T9" i="5"/>
  <c r="T28" i="5"/>
  <c r="T25" i="5"/>
  <c r="T17" i="5"/>
  <c r="T10" i="5"/>
  <c r="T26" i="5"/>
  <c r="T18" i="5"/>
  <c r="T11" i="5"/>
  <c r="T29" i="5"/>
  <c r="T30" i="5"/>
  <c r="T21" i="5"/>
  <c r="T14" i="5"/>
  <c r="T5" i="5"/>
  <c r="T22" i="5"/>
  <c r="T15" i="5"/>
  <c r="T6" i="5"/>
  <c r="T27" i="5"/>
  <c r="T19" i="5"/>
  <c r="T12" i="5"/>
  <c r="T24" i="5"/>
  <c r="S17" i="5"/>
  <c r="T8" i="5"/>
  <c r="T23" i="5"/>
  <c r="T16" i="5"/>
  <c r="T7" i="5"/>
  <c r="T20" i="5"/>
  <c r="T13" i="5"/>
  <c r="H64" i="6" l="1"/>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351" i="5"/>
  <c r="S542" i="5"/>
  <c r="S145" i="5"/>
  <c r="S181" i="5"/>
  <c r="S61" i="5"/>
  <c r="S37" i="5"/>
  <c r="S165" i="5"/>
  <c r="S216" i="5"/>
  <c r="S212" i="5"/>
  <c r="S383" i="5"/>
  <c r="S56" i="5"/>
  <c r="S491" i="5"/>
  <c r="S62" i="5"/>
  <c r="S456" i="5"/>
  <c r="S474"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35" i="5"/>
  <c r="S133"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200" i="5"/>
  <c r="S520" i="5"/>
  <c r="S197" i="5"/>
  <c r="S370" i="5"/>
  <c r="S160" i="5"/>
  <c r="S246" i="5"/>
  <c r="S353"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28" i="5"/>
  <c r="S24" i="5"/>
  <c r="S15" i="5"/>
  <c r="S7" i="5"/>
  <c r="S23" i="5"/>
  <c r="S14" i="5"/>
  <c r="S6" i="5"/>
  <c r="S26" i="5"/>
  <c r="S18" i="5"/>
  <c r="S9" i="5"/>
  <c r="S25" i="5"/>
  <c r="S16" i="5"/>
  <c r="S8" i="5"/>
  <c r="S30" i="5"/>
  <c r="S20" i="5"/>
  <c r="S11" i="5"/>
  <c r="S27" i="5"/>
  <c r="S19" i="5"/>
  <c r="S10" i="5"/>
  <c r="S29" i="5"/>
  <c r="S22" i="5"/>
  <c r="S13" i="5"/>
  <c r="S5" i="5"/>
  <c r="S21" i="5"/>
  <c r="S12"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<sst xmlns="http://schemas.openxmlformats.org/spreadsheetml/2006/main" count="21838" uniqueCount="15512">
  <si>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</si>
  <si>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</si>
  <si>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</si>
  <si>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</si>
  <si>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</si>
  <si>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</si>
  <si>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</si>
  <si>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</si>
  <si>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</si>
  <si>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</si>
  <si>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</si>
  <si>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</si>
  <si>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</si>
  <si>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</si>
  <si>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</si>
  <si>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</si>
  <si>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</si>
  <si>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</si>
  <si>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</si>
  <si>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</si>
  <si>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</si>
  <si>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</si>
  <si>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</si>
  <si>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</si>
  <si>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</si>
  <si>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</si>
  <si>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</si>
  <si>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</si>
  <si>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</si>
  <si>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</si>
  <si>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</si>
  <si>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</si>
  <si>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</si>
  <si>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</si>
  <si>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</si>
  <si>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</si>
  <si>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</si>
  <si>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</si>
  <si>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</si>
  <si>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</si>
  <si>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</si>
  <si>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</si>
  <si>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</si>
  <si>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</si>
  <si>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</si>
  <si>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</si>
  <si>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</si>
  <si>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</si>
  <si>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</si>
  <si>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</si>
  <si>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</si>
  <si>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</si>
  <si>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</si>
  <si>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</si>
  <si>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</si>
  <si>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</si>
  <si>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</si>
  <si>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</si>
  <si>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</si>
  <si>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</si>
  <si>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</si>
  <si>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</si>
  <si>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</si>
  <si>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</si>
  <si>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</si>
  <si>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</si>
  <si>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</si>
  <si>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</si>
  <si>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</si>
  <si>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</si>
  <si>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</si>
  <si>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</si>
  <si>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</si>
  <si>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</si>
  <si>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</si>
  <si>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</si>
  <si>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</si>
  <si>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</si>
  <si>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</si>
  <si>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</si>
  <si>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</si>
  <si>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</si>
  <si>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</si>
  <si>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</si>
  <si>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</si>
  <si>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</si>
  <si>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</si>
  <si>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</si>
  <si>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</si>
  <si>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</si>
  <si>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</si>
  <si>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</si>
  <si>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</si>
  <si>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</si>
  <si>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</si>
  <si>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</si>
  <si>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</si>
  <si>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</si>
  <si>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</si>
  <si>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</si>
  <si>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</si>
  <si>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</si>
  <si>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</si>
  <si>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</si>
  <si>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</si>
  <si>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</si>
  <si>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</si>
  <si>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</si>
  <si>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</si>
  <si>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</si>
  <si>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</si>
  <si>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</si>
  <si>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</si>
  <si>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</si>
  <si>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</si>
  <si>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</si>
  <si>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</si>
  <si>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</si>
  <si>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</si>
  <si>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</si>
  <si>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</si>
  <si>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</si>
  <si>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</si>
  <si>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</si>
  <si>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</si>
  <si>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</si>
  <si>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</si>
  <si>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</si>
  <si>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</si>
  <si>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</si>
  <si>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</si>
  <si>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</si>
  <si>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</si>
  <si>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</si>
  <si>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</si>
  <si>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</si>
  <si>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</si>
  <si>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</si>
  <si>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</si>
  <si>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</si>
  <si>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</si>
  <si>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</si>
  <si>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</si>
  <si>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</si>
  <si>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</si>
  <si>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</si>
  <si>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</si>
  <si>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</si>
  <si>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</si>
  <si>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</si>
  <si>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</si>
  <si>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</si>
  <si>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</si>
  <si>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</si>
  <si>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</si>
  <si>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</si>
  <si>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</si>
  <si>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</si>
  <si>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</si>
  <si>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</si>
  <si>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</si>
  <si>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</si>
  <si>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</si>
  <si>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</si>
  <si>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</si>
  <si>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</si>
  <si>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</si>
  <si>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</si>
  <si>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</si>
  <si>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</si>
  <si>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</si>
  <si>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</si>
  <si>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</si>
  <si>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</si>
  <si>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</si>
  <si>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</si>
  <si>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</si>
  <si>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</si>
  <si>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</si>
  <si>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</si>
  <si>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</si>
  <si>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</si>
  <si>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</si>
  <si>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</si>
  <si>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</si>
  <si>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</si>
  <si>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</si>
  <si>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</si>
  <si>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</si>
  <si>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</si>
  <si>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</si>
  <si>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</si>
  <si>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</si>
  <si>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</si>
  <si>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</si>
  <si>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</si>
  <si>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</si>
  <si>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</si>
  <si>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</si>
  <si>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</si>
  <si>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</si>
  <si>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</si>
  <si>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</si>
  <si>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</si>
  <si>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</si>
  <si>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</si>
  <si>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</si>
  <si>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</si>
  <si>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</si>
  <si>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</si>
  <si>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</si>
  <si>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</si>
  <si>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</si>
  <si>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</si>
  <si>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</si>
  <si>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</si>
  <si>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</si>
  <si>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</si>
  <si>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</si>
  <si>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</si>
  <si>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</si>
  <si>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</si>
  <si>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</si>
  <si>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</si>
  <si>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</si>
  <si>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</si>
  <si>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</si>
  <si>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</si>
  <si>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</si>
  <si>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</si>
  <si>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</si>
  <si>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</si>
  <si>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</si>
  <si>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</si>
  <si>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</si>
  <si>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</si>
  <si>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</si>
  <si>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</si>
  <si>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</si>
  <si>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</si>
  <si>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</si>
  <si>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</si>
  <si>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</si>
  <si>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</si>
  <si>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</si>
  <si>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</si>
  <si>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</si>
  <si>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</si>
  <si>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</si>
  <si>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</si>
  <si>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</si>
  <si>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</si>
  <si>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</si>
  <si>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</si>
  <si>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</si>
  <si>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</si>
  <si>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</si>
  <si>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</si>
  <si>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</si>
  <si>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</si>
  <si>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</si>
  <si>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</si>
  <si>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</si>
  <si>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</si>
  <si>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</si>
  <si>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</si>
  <si>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</si>
  <si>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</si>
  <si>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</si>
  <si>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</si>
  <si>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</si>
  <si>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</si>
  <si>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</si>
  <si>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</si>
  <si>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</si>
  <si>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</si>
  <si>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</si>
  <si>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</si>
  <si>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</si>
  <si>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</si>
  <si>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</si>
  <si>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</si>
  <si>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</si>
  <si>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</si>
  <si>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</si>
  <si>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</si>
  <si>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</si>
  <si>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</si>
  <si>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</si>
  <si>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</si>
  <si>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</si>
  <si>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</si>
  <si>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</si>
  <si>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</si>
  <si>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</si>
  <si>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</si>
  <si>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</si>
  <si>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</si>
  <si>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</si>
  <si>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</si>
  <si>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</si>
  <si>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</si>
  <si>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</si>
  <si>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</si>
  <si>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</si>
  <si>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</si>
  <si>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</si>
  <si>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</si>
  <si>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</si>
  <si>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</si>
  <si>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</si>
  <si>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</si>
  <si>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</si>
  <si>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</si>
  <si>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</si>
  <si>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</si>
  <si>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</si>
  <si>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</si>
  <si>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</si>
  <si>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</si>
  <si>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</si>
  <si>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</si>
  <si>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</si>
  <si>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</si>
  <si>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</si>
  <si>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</si>
  <si>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</si>
  <si>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</si>
  <si>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</si>
  <si>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</si>
  <si>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</si>
  <si>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</si>
  <si>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</si>
  <si>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</si>
  <si>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</si>
  <si>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</si>
  <si>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</si>
  <si>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</si>
  <si>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</si>
  <si>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</si>
  <si>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</si>
  <si>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</si>
  <si>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</si>
  <si>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</si>
  <si>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</si>
  <si>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</si>
  <si>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</si>
  <si>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</si>
  <si>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</si>
  <si>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</si>
  <si>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</si>
  <si>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</si>
  <si>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</si>
  <si>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</si>
  <si>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</si>
  <si>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</si>
  <si>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</si>
  <si>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</si>
  <si>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</si>
  <si>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</si>
  <si>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</si>
  <si>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</si>
  <si>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</si>
  <si>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</si>
  <si>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</si>
  <si>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</si>
  <si>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</si>
  <si>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</si>
  <si>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</si>
  <si>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</si>
  <si>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</si>
  <si>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</si>
  <si>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</si>
  <si>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</si>
  <si>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</si>
  <si>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</si>
  <si>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</si>
  <si>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</si>
  <si>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</si>
  <si>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</si>
  <si>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</si>
  <si>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</si>
  <si>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</si>
  <si>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</si>
  <si>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</si>
  <si>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</si>
  <si>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</si>
  <si>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</si>
  <si>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</si>
  <si>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</si>
  <si>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</si>
  <si>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</si>
  <si>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</si>
  <si>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</si>
  <si>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</si>
  <si>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</si>
  <si>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</si>
  <si>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</si>
  <si>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</si>
  <si>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</si>
  <si>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</si>
  <si>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</si>
  <si>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</si>
  <si>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</si>
  <si>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</si>
  <si>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</si>
  <si>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</si>
  <si>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</si>
  <si>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</si>
  <si>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</si>
  <si>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</si>
  <si>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</si>
  <si>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</si>
  <si>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</si>
  <si>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</si>
  <si>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</si>
  <si>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</si>
  <si>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</si>
  <si>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</si>
  <si>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</si>
  <si>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</si>
  <si>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</si>
  <si>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</si>
  <si>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</si>
  <si>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</si>
  <si>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</si>
  <si>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</si>
  <si>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</si>
  <si>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</si>
  <si>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</si>
  <si>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</si>
  <si>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</si>
  <si>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</si>
  <si>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</si>
  <si>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</si>
  <si>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</si>
  <si>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</si>
  <si>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</si>
  <si>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</si>
  <si>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</si>
  <si>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</si>
  <si>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</si>
  <si>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</si>
  <si>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</si>
  <si>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</si>
  <si>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</si>
  <si>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</si>
  <si>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</si>
  <si>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</si>
  <si>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</si>
  <si>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</si>
  <si>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</si>
  <si>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</si>
  <si>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</si>
  <si>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</si>
  <si>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</si>
  <si>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</si>
  <si>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</si>
  <si>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</si>
  <si>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</si>
  <si>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</si>
  <si>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</si>
  <si>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</si>
  <si>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</si>
  <si>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</si>
  <si>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</si>
  <si>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</si>
  <si>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</si>
  <si>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</si>
  <si>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</si>
  <si>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</si>
  <si>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</si>
  <si>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</si>
  <si>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</si>
  <si>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</si>
  <si>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</si>
  <si>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</si>
  <si>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</si>
  <si>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</si>
  <si>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</si>
  <si>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</si>
  <si>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</si>
  <si>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</si>
  <si>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</si>
  <si>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</si>
  <si>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</si>
  <si>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</si>
  <si>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</si>
  <si>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</si>
  <si>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</si>
  <si>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</si>
  <si>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</si>
  <si>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</si>
  <si>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</si>
  <si>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</si>
  <si>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</si>
  <si>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</si>
  <si>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</si>
  <si>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</si>
  <si>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</si>
  <si>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</si>
  <si>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</si>
  <si>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</si>
  <si>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</si>
  <si>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</si>
  <si>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</si>
  <si>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</si>
  <si>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</si>
  <si>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</si>
  <si>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</si>
  <si>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</si>
  <si>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</si>
  <si>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</si>
  <si>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</si>
  <si>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</si>
  <si>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</si>
  <si>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</si>
  <si>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</si>
  <si>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</si>
  <si>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</si>
  <si>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</si>
  <si>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</si>
  <si>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</si>
  <si>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</si>
  <si>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</si>
  <si>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</si>
  <si>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</si>
  <si>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</si>
  <si>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</si>
  <si>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</si>
  <si>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</si>
  <si>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</si>
  <si>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</si>
  <si>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</si>
  <si>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</si>
  <si>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</si>
  <si>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</si>
  <si>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</si>
  <si>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</si>
  <si>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</si>
  <si>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</si>
  <si>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</si>
  <si>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</si>
  <si>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</si>
  <si>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</si>
  <si>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</si>
  <si>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</si>
  <si>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</si>
  <si>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</si>
  <si>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</si>
  <si>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</si>
  <si>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</si>
  <si>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</si>
  <si>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</si>
  <si>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</si>
  <si>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</si>
  <si>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</si>
  <si>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</si>
  <si>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</si>
  <si>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</si>
  <si>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</si>
  <si>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</si>
  <si>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</si>
  <si>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</si>
  <si>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</si>
  <si>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</si>
  <si>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</si>
  <si>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</si>
  <si>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</si>
  <si>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</si>
  <si>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</si>
  <si>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</si>
  <si>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</si>
  <si>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</si>
  <si>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</si>
  <si>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</si>
  <si>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</si>
  <si>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</si>
  <si>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</si>
  <si>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</si>
  <si>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</si>
  <si>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</si>
  <si>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</si>
  <si>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</si>
  <si>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</si>
  <si>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</si>
  <si>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</si>
  <si>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</si>
  <si>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</si>
  <si>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</si>
  <si>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</si>
  <si>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</si>
  <si>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</si>
  <si>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</si>
  <si>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</si>
  <si>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</si>
  <si>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</si>
  <si>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</si>
  <si>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</si>
  <si>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</si>
  <si>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</si>
  <si>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</si>
  <si>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</si>
  <si>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</si>
  <si>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</si>
  <si>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</si>
  <si>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</si>
  <si>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</si>
  <si>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</si>
  <si>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</si>
  <si>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</si>
  <si>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</si>
  <si>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</si>
  <si>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</si>
  <si>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</si>
  <si>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</si>
  <si>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</si>
  <si>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</si>
  <si>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</si>
  <si>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</si>
  <si>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</si>
  <si>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</si>
  <si>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</si>
  <si>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</si>
  <si>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</si>
  <si>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</si>
  <si>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</si>
  <si>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</si>
  <si>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</si>
  <si>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</si>
  <si>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</si>
  <si>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</si>
  <si>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</si>
  <si>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</si>
  <si>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</si>
  <si>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</si>
  <si>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</si>
  <si>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</si>
  <si>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</si>
  <si>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</si>
  <si>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</si>
  <si>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</si>
  <si>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</si>
  <si>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</si>
  <si>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</si>
  <si>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</si>
  <si>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</si>
  <si>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</si>
  <si>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</si>
  <si>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</si>
  <si>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</si>
  <si>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</si>
  <si>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</si>
  <si>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</si>
  <si>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</si>
  <si>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</si>
  <si>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</si>
  <si>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</si>
  <si>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</si>
  <si>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</si>
  <si>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</si>
  <si>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</si>
  <si>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</si>
  <si>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</si>
  <si>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</si>
  <si>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</si>
  <si>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</si>
  <si>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</si>
  <si>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</si>
  <si>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</si>
  <si>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</si>
  <si>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</si>
  <si>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</si>
  <si>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</si>
  <si>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</si>
  <si>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</si>
  <si>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</si>
  <si>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</si>
  <si>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</si>
  <si>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</si>
  <si>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</si>
  <si>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</si>
  <si>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</si>
  <si>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</si>
  <si>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</si>
  <si>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</si>
  <si>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</si>
  <si>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</si>
  <si>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</si>
  <si>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</si>
  <si>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</si>
  <si>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</si>
  <si>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</si>
  <si>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</si>
  <si>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</si>
  <si>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</si>
  <si>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</si>
  <si>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</si>
  <si>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</si>
  <si>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</si>
  <si>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</si>
  <si>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</si>
  <si>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</si>
  <si>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</si>
  <si>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</si>
  <si>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</si>
  <si>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</si>
  <si>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</si>
  <si>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</si>
  <si>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</si>
  <si>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</si>
  <si>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</si>
  <si>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</si>
  <si>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</si>
  <si>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</si>
  <si>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</si>
  <si>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</si>
  <si>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</si>
  <si>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</si>
  <si>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</si>
  <si>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</si>
  <si>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</si>
  <si>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</si>
  <si>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</si>
  <si>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</si>
  <si>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</si>
  <si>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</si>
  <si>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</si>
  <si>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</si>
  <si>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</si>
  <si>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</si>
  <si>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</si>
  <si>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</si>
  <si>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</si>
  <si>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</si>
  <si>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</si>
  <si>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</si>
  <si>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</si>
  <si>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</si>
  <si>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</si>
  <si>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</si>
  <si>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</si>
  <si>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</si>
  <si>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</si>
  <si>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</si>
  <si>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</si>
  <si>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</si>
  <si>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</si>
  <si>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</si>
  <si>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</si>
  <si>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</si>
  <si>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</si>
  <si>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</si>
  <si>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</si>
  <si>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</si>
  <si>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</si>
  <si>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</si>
  <si>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</si>
  <si>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</si>
  <si>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</si>
  <si>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</si>
  <si>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</si>
  <si>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</si>
  <si>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</si>
  <si>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</si>
  <si>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</si>
  <si>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</si>
  <si>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</si>
  <si>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</si>
  <si>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</si>
  <si>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</si>
  <si>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</si>
  <si>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</si>
  <si>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</si>
  <si>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</si>
  <si>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</si>
  <si>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</si>
  <si>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</si>
  <si>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</si>
  <si>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</si>
  <si>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</si>
  <si>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</si>
  <si>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</si>
  <si>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</si>
  <si>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</si>
  <si>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</si>
  <si>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</si>
  <si>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</si>
  <si>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</si>
  <si>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</si>
  <si>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</si>
  <si>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</si>
  <si>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</si>
  <si>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</si>
  <si>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</si>
  <si>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</si>
  <si>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</si>
  <si>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</si>
  <si>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</si>
  <si>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</si>
  <si>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</si>
  <si>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</si>
  <si>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</si>
  <si>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</si>
  <si>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</si>
  <si>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</si>
  <si>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</si>
  <si>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</si>
  <si>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</si>
  <si>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</si>
  <si>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</si>
  <si>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</si>
  <si>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</si>
  <si>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</si>
  <si>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</si>
  <si>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</si>
  <si>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</si>
  <si>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</si>
  <si>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</si>
  <si>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</si>
  <si>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</si>
  <si>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</si>
  <si>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</si>
  <si>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</si>
  <si>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</si>
  <si>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</si>
  <si>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</si>
  <si>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</si>
  <si>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</si>
  <si>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</si>
  <si>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</si>
  <si>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</si>
  <si>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</si>
  <si>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</si>
  <si>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</si>
  <si>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</si>
  <si>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</si>
  <si>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</si>
  <si>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</si>
  <si>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</si>
  <si>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</si>
  <si>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</si>
  <si>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</si>
  <si>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</si>
  <si>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</si>
  <si>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</si>
  <si>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</si>
  <si>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</si>
  <si>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</si>
  <si>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</si>
  <si>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</si>
  <si>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</si>
  <si>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</si>
  <si>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</si>
  <si>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</si>
  <si>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</si>
  <si>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</si>
  <si>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</si>
  <si>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</si>
  <si>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</si>
  <si>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</si>
  <si>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</si>
  <si>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</si>
  <si>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</si>
  <si>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</si>
  <si>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</si>
  <si>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</si>
  <si>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</si>
  <si>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</si>
  <si>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</si>
  <si>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</si>
  <si>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</si>
  <si>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</si>
  <si>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</si>
  <si>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</si>
  <si>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</si>
  <si>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</si>
  <si>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</si>
  <si>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</si>
  <si>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</si>
  <si>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</si>
  <si>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</si>
  <si>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</si>
  <si>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</si>
  <si>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</si>
  <si>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</si>
  <si>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</si>
  <si>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</si>
  <si>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</si>
  <si>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</si>
  <si>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</si>
  <si>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</si>
  <si>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</si>
  <si>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</si>
  <si>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</si>
  <si>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</si>
  <si>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</si>
  <si>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</si>
  <si>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</si>
  <si>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</si>
  <si>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</si>
  <si>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</si>
  <si>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</si>
  <si>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</si>
  <si>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</si>
  <si>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</si>
  <si>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</si>
  <si>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</si>
  <si>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</si>
  <si>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</si>
  <si>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</si>
  <si>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</si>
  <si>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</si>
  <si>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</si>
  <si>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</si>
  <si>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</si>
  <si>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</si>
  <si>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</si>
  <si>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</si>
  <si>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</si>
  <si>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</si>
  <si>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</si>
  <si>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</si>
  <si>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</si>
  <si>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</si>
  <si>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</si>
  <si>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</si>
  <si>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</si>
  <si>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</si>
  <si>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</si>
  <si>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</si>
  <si>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</si>
  <si>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</si>
  <si>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</si>
  <si>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</si>
  <si>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</si>
  <si>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</si>
  <si>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</si>
  <si>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</si>
  <si>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</si>
  <si>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</si>
  <si>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</si>
  <si>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</si>
  <si>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</si>
  <si>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</si>
  <si>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</si>
  <si>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</si>
  <si>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</si>
  <si>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</si>
  <si>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</si>
  <si>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</si>
  <si>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</si>
  <si>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</si>
  <si>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</si>
  <si>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</si>
  <si>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</si>
  <si>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</si>
  <si>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</si>
  <si>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</si>
  <si>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</si>
  <si>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</si>
  <si>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</si>
  <si>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</si>
  <si>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</si>
  <si>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</si>
  <si>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</si>
  <si>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</si>
  <si>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</si>
  <si>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</si>
  <si>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</si>
  <si>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</si>
  <si>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</si>
  <si>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</si>
  <si>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</si>
  <si>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</si>
  <si>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</si>
  <si>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</si>
  <si>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</si>
  <si>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</si>
  <si>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</si>
  <si>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</si>
  <si>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</si>
  <si>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</si>
  <si>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</si>
  <si>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</si>
  <si>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</si>
  <si>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</si>
  <si>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</si>
  <si>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</si>
  <si>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</si>
  <si>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</si>
  <si>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</si>
  <si>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</si>
  <si>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</si>
  <si>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</si>
  <si>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</si>
  <si>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</si>
  <si>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</si>
  <si>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</si>
  <si>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</si>
  <si>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</si>
  <si>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</si>
  <si>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</si>
  <si>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</si>
  <si>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</si>
  <si>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</si>
  <si>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</si>
  <si>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</si>
  <si>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</si>
  <si>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</si>
  <si>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</si>
  <si>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</si>
  <si>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</si>
  <si>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</si>
  <si>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</si>
  <si>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</si>
  <si>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</si>
  <si>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</si>
  <si>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</si>
  <si>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</si>
  <si>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</si>
  <si>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</si>
  <si>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</si>
  <si>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</si>
  <si>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</si>
  <si>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</si>
  <si>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</si>
  <si>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</si>
  <si>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</si>
  <si>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</si>
  <si>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</si>
  <si>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</si>
  <si>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</si>
  <si>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</si>
  <si>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</si>
  <si>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</si>
  <si>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</si>
  <si>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</si>
  <si>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</si>
  <si>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</si>
  <si>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</si>
  <si>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</si>
  <si>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</si>
  <si>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</si>
  <si>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</si>
  <si>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</si>
  <si>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</si>
  <si>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</si>
  <si>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</si>
  <si>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</si>
  <si>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</si>
  <si>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</si>
  <si>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</si>
  <si>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</si>
  <si>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</si>
  <si>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</si>
  <si>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</si>
  <si>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</si>
  <si>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</si>
  <si>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</si>
  <si>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</si>
  <si>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</si>
  <si>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</si>
  <si>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</si>
  <si>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</si>
  <si>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</si>
  <si>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</si>
  <si>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</si>
  <si>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</si>
  <si>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</si>
  <si>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</si>
  <si>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</si>
  <si>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</si>
  <si>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</si>
  <si>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</si>
  <si>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</si>
  <si>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</si>
  <si>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</si>
  <si>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</si>
  <si>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</si>
  <si>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</si>
  <si>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</si>
  <si>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</si>
  <si>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</si>
  <si>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</si>
  <si>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</si>
  <si>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</si>
  <si>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</si>
  <si>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</si>
  <si>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</si>
  <si>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</si>
  <si>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</si>
  <si>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</si>
  <si>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</si>
  <si>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</si>
  <si>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</si>
  <si>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</si>
  <si>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</si>
  <si>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</si>
  <si>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</si>
  <si>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</si>
  <si>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</si>
  <si>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</si>
  <si>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</si>
  <si>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</si>
  <si>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</si>
  <si>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</si>
  <si>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</si>
  <si>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</si>
  <si>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</si>
  <si>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</si>
  <si>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</si>
  <si>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</si>
  <si>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</si>
  <si>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</si>
  <si>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</si>
  <si>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</si>
  <si>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</si>
  <si>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</si>
  <si>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</si>
  <si>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</si>
  <si>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</si>
  <si>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</si>
  <si>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</si>
  <si>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</si>
  <si>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</si>
  <si>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</si>
  <si>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</si>
  <si>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</si>
  <si>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</si>
  <si>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</si>
  <si>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</si>
  <si>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</si>
  <si>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</si>
  <si>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</si>
  <si>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</si>
  <si>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</si>
  <si>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</si>
  <si>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</si>
  <si>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</si>
  <si>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</si>
  <si>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</si>
  <si>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</si>
  <si>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</si>
  <si>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</si>
  <si>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</si>
  <si>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</si>
  <si>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</si>
  <si>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</si>
  <si>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</si>
  <si>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</si>
  <si>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</si>
  <si>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</si>
  <si>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</si>
  <si>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</si>
  <si>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</si>
  <si>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</si>
  <si>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</si>
  <si>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</si>
  <si>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</si>
  <si>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</si>
  <si>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</si>
  <si>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</si>
  <si>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</si>
  <si>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</si>
  <si>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</si>
  <si>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</si>
  <si>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</si>
  <si>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</si>
  <si>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</si>
  <si>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</si>
  <si>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</si>
  <si>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</si>
  <si>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</si>
  <si>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</si>
  <si>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</si>
  <si>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</si>
  <si>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</si>
  <si>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</si>
  <si>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</si>
  <si>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</si>
  <si>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</si>
  <si>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</si>
  <si>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</si>
  <si>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</si>
  <si>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</si>
  <si>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</si>
  <si>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</si>
  <si>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</si>
  <si>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</si>
  <si>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</si>
  <si>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</si>
  <si>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</si>
  <si>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</si>
  <si>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</si>
  <si>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</si>
  <si>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</si>
  <si>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</si>
  <si>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</si>
  <si>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</si>
  <si>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</si>
  <si>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</si>
  <si>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</si>
  <si>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</si>
  <si>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</si>
  <si>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</si>
  <si>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</si>
  <si>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</si>
  <si>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</si>
  <si>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</si>
  <si>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</si>
  <si>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</si>
  <si>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</si>
  <si>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</si>
  <si>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</si>
  <si>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</si>
  <si>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</si>
  <si>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</si>
  <si>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</si>
  <si>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</si>
  <si>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</si>
  <si>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</si>
  <si>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</si>
  <si>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</si>
  <si>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</si>
  <si>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</si>
  <si>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</si>
  <si>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</si>
  <si>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</si>
  <si>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</si>
  <si>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</si>
  <si>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</si>
  <si>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</si>
  <si>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</si>
  <si>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</si>
  <si>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</si>
  <si>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</si>
  <si>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</si>
  <si>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</si>
  <si>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</si>
  <si>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</si>
  <si>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</si>
  <si>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</si>
  <si>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</si>
  <si>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</si>
  <si>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</si>
  <si>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</si>
  <si>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</si>
  <si>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</si>
  <si>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</si>
  <si>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</si>
  <si>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</si>
  <si>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</si>
  <si>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</si>
  <si>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</si>
  <si>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</si>
  <si>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</si>
  <si>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</si>
  <si>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</si>
  <si>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</si>
  <si>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</si>
  <si>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</si>
  <si>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</si>
  <si>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</si>
  <si>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</si>
  <si>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</si>
  <si>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</si>
  <si>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</si>
  <si>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</si>
  <si>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</si>
  <si>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</si>
  <si>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</si>
  <si>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</si>
  <si>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</si>
  <si>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</si>
  <si>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</si>
  <si>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</si>
  <si>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</si>
  <si>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</si>
  <si>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</si>
  <si>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</si>
  <si>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</si>
  <si>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</si>
  <si>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</si>
  <si>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</si>
  <si>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</si>
  <si>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</si>
  <si>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</si>
  <si>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</si>
  <si>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</si>
  <si>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</si>
  <si>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</si>
  <si>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</si>
  <si>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</si>
  <si>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</si>
  <si>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</si>
  <si>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</si>
  <si>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</si>
  <si>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</si>
  <si>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</si>
  <si>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</si>
  <si>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</si>
  <si>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</si>
  <si>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</si>
  <si>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</si>
  <si>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</si>
  <si>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</si>
  <si>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</si>
  <si>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</si>
  <si>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</si>
  <si>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</si>
  <si>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</si>
  <si>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</si>
  <si>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</si>
  <si>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</si>
  <si>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</si>
  <si>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</si>
  <si>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</si>
  <si>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</si>
  <si>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</si>
  <si>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</si>
  <si>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</si>
  <si>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</si>
  <si>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</si>
  <si>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</si>
  <si>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</si>
  <si>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</si>
  <si>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</si>
  <si>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</si>
  <si>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</si>
  <si>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</si>
  <si>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</si>
  <si>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</si>
  <si>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</si>
  <si>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</si>
  <si>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</si>
  <si>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</si>
  <si>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</si>
  <si>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</si>
  <si>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</si>
  <si>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</si>
  <si>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</si>
  <si>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</si>
  <si>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</si>
  <si>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</si>
  <si>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</si>
  <si>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</si>
  <si>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</si>
  <si>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</si>
  <si>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</si>
  <si>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</si>
  <si>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</si>
  <si>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</si>
  <si>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</si>
  <si>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</si>
  <si>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</si>
  <si>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</si>
  <si>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</si>
  <si>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</si>
  <si>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</si>
  <si>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</si>
  <si>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</si>
  <si>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</si>
  <si>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</si>
  <si>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</si>
  <si>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</si>
  <si>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</si>
  <si>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</si>
  <si>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</si>
  <si>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</si>
  <si>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</si>
  <si>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</si>
  <si>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</si>
  <si>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</si>
  <si>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</si>
  <si>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</si>
  <si>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</si>
  <si>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</si>
  <si>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</si>
  <si>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</si>
  <si>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</si>
  <si>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</si>
  <si>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</si>
  <si>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</si>
  <si>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</si>
  <si>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</si>
  <si>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</si>
  <si>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</si>
  <si>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</si>
  <si>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</si>
  <si>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</si>
  <si>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</si>
  <si>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</si>
  <si>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</si>
  <si>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</si>
  <si>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</si>
  <si>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</si>
  <si>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</si>
  <si>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</si>
  <si>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</si>
  <si>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</si>
  <si>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</si>
  <si>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</si>
  <si>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</si>
  <si>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</si>
  <si>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</si>
  <si>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</si>
  <si>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</si>
  <si>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</si>
  <si>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</si>
  <si>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</si>
  <si>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</si>
  <si>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</si>
  <si>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</si>
  <si>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</si>
  <si>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</si>
  <si>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</si>
  <si>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</si>
  <si>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</si>
  <si>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</si>
  <si>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</si>
  <si>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</si>
  <si>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</si>
  <si>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</si>
  <si>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</si>
  <si>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</si>
  <si>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</si>
  <si>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</si>
  <si>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</si>
  <si>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</si>
  <si>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</si>
  <si>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</si>
  <si>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</si>
  <si>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</si>
  <si>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</si>
  <si>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</si>
  <si>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</si>
  <si>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</si>
  <si>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</si>
  <si>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</si>
  <si>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</si>
  <si>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</si>
  <si>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</si>
  <si>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</si>
  <si>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</si>
  <si>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</si>
  <si>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</si>
  <si>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</si>
  <si>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</si>
  <si>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</si>
  <si>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</si>
  <si>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</si>
  <si>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</si>
  <si>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</si>
  <si>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</si>
  <si>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</si>
  <si>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</si>
  <si>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</si>
  <si>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</si>
  <si>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</si>
  <si>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</si>
  <si>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</si>
  <si>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</si>
  <si>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</si>
  <si>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</si>
  <si>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</si>
  <si>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</si>
  <si>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</si>
  <si>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</si>
  <si>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</si>
  <si>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</si>
  <si>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</si>
  <si>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</si>
  <si>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</si>
  <si>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</si>
  <si>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</si>
  <si>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</si>
  <si>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</si>
  <si>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</si>
  <si>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</si>
  <si>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</si>
  <si>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</si>
  <si>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</si>
  <si>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</si>
  <si>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</si>
  <si>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</si>
  <si>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</si>
  <si>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</si>
  <si>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</si>
  <si>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</si>
  <si>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</si>
  <si>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</si>
  <si>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</si>
  <si>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</si>
  <si>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</si>
  <si>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</si>
  <si>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</si>
  <si>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</si>
  <si>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</si>
  <si>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</si>
  <si>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</si>
  <si>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</si>
  <si>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</si>
  <si>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</si>
  <si>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</si>
  <si>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</si>
  <si>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</si>
  <si>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</si>
  <si>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</si>
  <si>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</si>
  <si>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</si>
  <si>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</si>
  <si>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</si>
  <si>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</si>
  <si>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</si>
  <si>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</si>
  <si>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</si>
  <si>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</si>
  <si>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</si>
  <si>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</si>
  <si>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</si>
  <si>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</si>
  <si>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</si>
  <si>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</si>
  <si>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</si>
  <si>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</si>
  <si>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</si>
  <si>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</si>
  <si>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</si>
  <si>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</si>
  <si>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</si>
  <si>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</si>
  <si>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</si>
  <si>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</si>
  <si>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</si>
  <si>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</si>
  <si>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</si>
  <si>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</si>
  <si>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</si>
  <si>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</si>
  <si>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</si>
  <si>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</si>
  <si>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</si>
  <si>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</si>
  <si>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</si>
  <si>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</si>
  <si>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</si>
  <si>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</si>
  <si>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</si>
  <si>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</si>
  <si>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</si>
  <si>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</si>
  <si>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</si>
  <si>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</si>
  <si>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</si>
  <si>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</si>
  <si>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</si>
  <si>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</si>
  <si>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</si>
  <si>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</si>
  <si>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</si>
  <si>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</si>
  <si>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</si>
  <si>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</si>
  <si>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</si>
  <si>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</si>
  <si>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</si>
  <si>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</si>
  <si>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</si>
  <si>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</si>
  <si>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</si>
  <si>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</si>
  <si>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</si>
  <si>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</si>
  <si>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</si>
  <si>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</si>
  <si>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</si>
  <si>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</si>
  <si>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</si>
  <si>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</si>
  <si>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</si>
  <si>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</si>
  <si>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</si>
  <si>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</si>
  <si>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</si>
  <si>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</si>
  <si>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</si>
  <si>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</si>
  <si>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</si>
  <si>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</si>
  <si>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</si>
  <si>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</si>
  <si>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</si>
  <si>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</si>
  <si>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</si>
  <si>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</si>
  <si>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</si>
  <si>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</si>
  <si>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</si>
  <si>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</si>
  <si>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</si>
  <si>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</si>
  <si>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</si>
  <si>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</si>
  <si>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</si>
  <si>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</si>
  <si>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</si>
  <si>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</si>
  <si>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</si>
  <si>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</si>
  <si>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</si>
  <si>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</si>
  <si>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</si>
  <si>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</si>
  <si>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</si>
  <si>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</si>
  <si>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</si>
  <si>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</si>
  <si>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</si>
  <si>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</si>
  <si>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</si>
  <si>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</si>
  <si>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</si>
  <si>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</si>
  <si>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</si>
  <si>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</si>
  <si>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</si>
  <si>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</si>
  <si>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</si>
  <si>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</si>
  <si>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</si>
  <si>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</si>
  <si>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</si>
  <si>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</si>
  <si>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</si>
  <si>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</si>
  <si>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</si>
  <si>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</si>
  <si>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</si>
  <si>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</si>
  <si>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</si>
  <si>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</si>
  <si>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</si>
  <si>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</si>
  <si>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</si>
  <si>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</si>
  <si>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</si>
  <si>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</si>
  <si>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</si>
  <si>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</si>
  <si>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</si>
  <si>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</si>
  <si>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</si>
  <si>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</si>
  <si>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</si>
  <si>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</si>
  <si>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</si>
  <si>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</si>
  <si>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</si>
  <si>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</si>
  <si>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</si>
  <si>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</si>
  <si>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</si>
  <si>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</si>
  <si>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</si>
  <si>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</si>
  <si>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</si>
  <si>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</si>
  <si>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</si>
  <si>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</si>
  <si>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</si>
  <si>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</si>
  <si>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</si>
  <si>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</si>
  <si>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</si>
  <si>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</si>
  <si>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</si>
  <si>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</si>
  <si>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</si>
  <si>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</si>
  <si>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</si>
  <si>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</si>
  <si>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</si>
  <si>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</si>
  <si>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</si>
  <si>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</si>
  <si>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</si>
  <si>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</si>
  <si>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</si>
  <si>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</si>
  <si>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</si>
  <si>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</si>
  <si>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</si>
  <si>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</si>
  <si>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</si>
  <si>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</si>
  <si>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</si>
  <si>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</si>
  <si>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</si>
  <si>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</si>
  <si>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</si>
  <si>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</si>
  <si>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</si>
  <si>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</si>
  <si>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</si>
  <si>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</si>
  <si>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</si>
  <si>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</si>
  <si>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</si>
  <si>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</si>
  <si>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</si>
  <si>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</si>
  <si>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</si>
  <si>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</si>
  <si>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</si>
  <si>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</si>
  <si>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</si>
  <si>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</si>
  <si>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</si>
  <si>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</si>
  <si>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</si>
  <si>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</si>
  <si>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</si>
  <si>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</si>
  <si>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</si>
  <si>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</si>
  <si>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</si>
  <si>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</si>
  <si>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</si>
  <si>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</si>
  <si>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</si>
  <si>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</si>
  <si>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</si>
  <si>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</si>
  <si>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</si>
  <si>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</si>
  <si>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</si>
  <si>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</si>
  <si>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</si>
  <si>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</si>
  <si>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</si>
  <si>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</si>
  <si>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</si>
  <si>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</si>
  <si>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</si>
  <si>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</si>
  <si>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</si>
  <si>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</si>
  <si>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</si>
  <si>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</si>
  <si>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</si>
  <si>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</si>
  <si>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</si>
  <si>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</si>
  <si>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</si>
  <si>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</si>
  <si>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</si>
  <si>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</si>
  <si>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</si>
  <si>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</si>
  <si>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</si>
  <si>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</si>
  <si>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</si>
  <si>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</si>
  <si>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</si>
  <si>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</si>
  <si>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</si>
  <si>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</si>
  <si>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</si>
  <si>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</si>
  <si>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</si>
  <si>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</si>
  <si>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</si>
  <si>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</si>
  <si>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</si>
  <si>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</si>
  <si>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</si>
  <si>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</si>
  <si>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</si>
  <si>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</si>
  <si>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</si>
  <si>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</si>
  <si>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</si>
  <si>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</si>
  <si>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</si>
  <si>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</si>
  <si>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</si>
  <si>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</si>
  <si>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</si>
  <si>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</si>
  <si>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</si>
  <si>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</si>
  <si>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</si>
  <si>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</si>
  <si>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</si>
  <si>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</si>
  <si>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</si>
  <si>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</si>
  <si>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</si>
  <si>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</si>
  <si>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</si>
  <si>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</si>
  <si>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</si>
  <si>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</si>
  <si>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</si>
  <si>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</si>
  <si>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</si>
  <si>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</si>
  <si>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</si>
  <si>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</si>
  <si>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</si>
  <si>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</si>
  <si>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</si>
  <si>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</si>
  <si>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</si>
  <si>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</si>
  <si>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</si>
  <si>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</si>
  <si>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</si>
  <si>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</si>
  <si>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</si>
  <si>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</si>
  <si>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</si>
  <si>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</si>
  <si>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</si>
  <si>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</si>
  <si>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</si>
  <si>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</si>
  <si>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</si>
  <si>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</si>
  <si>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</si>
  <si>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</si>
  <si>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</si>
  <si>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</si>
  <si>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</si>
  <si>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</si>
  <si>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</si>
  <si>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</si>
  <si>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</si>
  <si>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</si>
  <si>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</si>
  <si>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</si>
  <si>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</si>
  <si>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</si>
  <si>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</si>
  <si>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</si>
  <si>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</si>
  <si>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</si>
  <si>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</si>
  <si>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</si>
  <si>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</si>
  <si>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</si>
  <si>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</si>
  <si>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</si>
  <si>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</si>
  <si>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</si>
  <si>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</si>
  <si>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</si>
  <si>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</si>
  <si>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</si>
  <si>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</si>
  <si>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</si>
  <si>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</si>
  <si>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</si>
  <si>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</si>
  <si>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</si>
  <si>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</si>
  <si>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</si>
  <si>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</si>
  <si>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</si>
  <si>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</si>
  <si>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</si>
  <si>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</si>
  <si>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</si>
  <si>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</si>
  <si>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</si>
  <si>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</si>
  <si>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</si>
  <si>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</si>
  <si>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</si>
  <si>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</si>
  <si>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</si>
  <si>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</si>
  <si>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</si>
  <si>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</si>
  <si>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</si>
  <si>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</si>
  <si>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</si>
  <si>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</si>
  <si>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</si>
  <si>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</si>
  <si>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</si>
  <si>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</si>
  <si>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</si>
  <si>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</si>
  <si>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</si>
  <si>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</si>
  <si>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</si>
  <si>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</si>
  <si>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</si>
  <si>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</si>
  <si>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</si>
  <si>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</si>
  <si>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</si>
  <si>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</si>
  <si>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</si>
  <si>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</si>
  <si>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</si>
  <si>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</si>
  <si>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</si>
  <si>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</si>
  <si>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</si>
  <si>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</si>
  <si>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</si>
  <si>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</si>
  <si>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</si>
  <si>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</si>
  <si>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</si>
  <si>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</si>
  <si>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</si>
  <si>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</si>
  <si>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</si>
  <si>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</si>
  <si>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</si>
  <si>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</si>
  <si>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</si>
  <si>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</si>
  <si>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</si>
  <si>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</si>
  <si>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</si>
  <si>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</si>
  <si>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</si>
  <si>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</si>
  <si>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</si>
  <si>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</si>
  <si>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</si>
  <si>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</si>
  <si>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</si>
  <si>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</si>
  <si>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</si>
  <si>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</si>
  <si>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</si>
  <si>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</si>
  <si>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</si>
  <si>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</si>
  <si>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</si>
  <si>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</si>
  <si>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</si>
  <si>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</si>
  <si>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</si>
  <si>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</si>
  <si>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</si>
  <si>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</si>
  <si>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</si>
  <si>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</si>
  <si>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</si>
  <si>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</si>
  <si>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</si>
  <si>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</si>
  <si>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</si>
  <si>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</si>
  <si>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</si>
  <si>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</si>
  <si>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</si>
  <si>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</si>
  <si>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</si>
  <si>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</si>
  <si>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</si>
  <si>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</si>
  <si>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</si>
  <si>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</si>
  <si>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</si>
  <si>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</si>
  <si>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</si>
  <si>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</si>
  <si>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</si>
  <si>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</si>
  <si>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</si>
  <si>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</si>
  <si>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</si>
  <si>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</si>
  <si>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</si>
  <si>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</si>
  <si>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</si>
  <si>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</si>
  <si>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</si>
  <si>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</si>
  <si>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</si>
  <si>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</si>
  <si>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</si>
  <si>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</si>
  <si>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</si>
  <si>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</si>
  <si>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</si>
  <si>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</si>
  <si>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</si>
  <si>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</si>
  <si>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</si>
  <si>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</si>
  <si>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</si>
  <si>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</si>
  <si>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</si>
  <si>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</si>
  <si>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</si>
  <si>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</si>
  <si>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</si>
  <si>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</si>
  <si>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</si>
  <si>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</si>
  <si>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</si>
  <si>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</si>
  <si>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</si>
  <si>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</si>
  <si>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</si>
  <si>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</si>
  <si>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</si>
  <si>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</si>
  <si>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</si>
  <si>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</si>
  <si>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</si>
  <si>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</si>
  <si>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</si>
  <si>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</si>
  <si>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</si>
  <si>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</si>
  <si>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</si>
  <si>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</si>
  <si>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</si>
  <si>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</si>
  <si>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</si>
  <si>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</si>
  <si>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</si>
  <si>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</si>
  <si>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</si>
  <si>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</si>
  <si>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</si>
  <si>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</si>
  <si>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</si>
  <si>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</si>
  <si>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</si>
  <si>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</si>
  <si>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</si>
  <si>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</si>
  <si>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</si>
  <si>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</si>
  <si>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</si>
  <si>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</si>
  <si>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</si>
  <si>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</si>
  <si>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</si>
  <si>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</si>
  <si>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</si>
  <si>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</si>
  <si>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</si>
  <si>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</si>
  <si>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</si>
  <si>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</si>
  <si>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</si>
  <si>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</si>
  <si>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</si>
  <si>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</si>
  <si>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</si>
  <si>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</si>
  <si>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</si>
  <si>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</si>
  <si>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</si>
  <si>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</si>
  <si>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</si>
  <si>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</si>
  <si>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</si>
  <si>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</si>
  <si>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</si>
  <si>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</si>
  <si>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</si>
  <si>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</si>
  <si>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</si>
  <si>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</si>
  <si>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</si>
  <si>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</si>
  <si>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</si>
  <si>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</si>
  <si>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</si>
  <si>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</si>
  <si>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</si>
  <si>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</si>
  <si>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</si>
  <si>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</si>
  <si>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</si>
  <si>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</si>
  <si>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</si>
  <si>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</si>
  <si>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</si>
  <si>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</si>
  <si>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</si>
  <si>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</si>
  <si>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</si>
  <si>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</si>
  <si>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</si>
  <si>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</si>
  <si>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</si>
  <si>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</si>
  <si>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</si>
  <si>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</si>
  <si>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</si>
  <si>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</si>
  <si>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</si>
  <si>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</si>
  <si>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</si>
  <si>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</si>
  <si>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</si>
  <si>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</si>
  <si>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</si>
  <si>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</si>
  <si>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</si>
  <si>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</si>
  <si>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</si>
  <si>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</si>
  <si>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</si>
  <si>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</si>
  <si>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</si>
  <si>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</si>
  <si>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</si>
  <si>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</si>
  <si>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</si>
  <si>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</si>
  <si>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</si>
  <si>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</si>
  <si>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</si>
  <si>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</si>
  <si>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</si>
  <si>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</si>
  <si>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</si>
  <si>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</si>
  <si>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</si>
  <si>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</si>
  <si>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</si>
  <si>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</si>
  <si>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</si>
  <si>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</si>
  <si>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</si>
  <si>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</si>
  <si>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</si>
  <si>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</si>
  <si>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</si>
  <si>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</si>
  <si>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</si>
  <si>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</si>
  <si>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</si>
  <si>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</si>
  <si>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</si>
  <si>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</si>
  <si>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</si>
  <si>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</si>
  <si>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</si>
  <si>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</si>
  <si>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</si>
  <si>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</si>
  <si>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</si>
  <si>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</si>
  <si>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</si>
  <si>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</si>
  <si>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</si>
  <si>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</si>
  <si>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</si>
  <si>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</si>
  <si>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</si>
  <si>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</si>
  <si>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</si>
  <si>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</si>
  <si>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</si>
  <si>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</si>
  <si>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</si>
  <si>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</si>
  <si>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</si>
  <si>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</si>
  <si>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</si>
  <si>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</si>
  <si>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</si>
  <si>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</si>
  <si>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</si>
  <si>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</si>
  <si>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</si>
  <si>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</si>
  <si>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</si>
  <si>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</si>
  <si>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</si>
  <si>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</si>
  <si>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</si>
  <si>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</si>
  <si>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</si>
  <si>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</si>
  <si>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</si>
  <si>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</si>
  <si>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</si>
  <si>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</si>
  <si>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</si>
  <si>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</si>
  <si>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</si>
  <si>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</si>
  <si>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</si>
  <si>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</si>
  <si>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</si>
  <si>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</si>
  <si>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</si>
  <si>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</si>
  <si>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</si>
  <si>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</si>
  <si>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</si>
  <si>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</si>
  <si>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</si>
  <si>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</si>
  <si>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</si>
  <si>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</si>
  <si>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</si>
  <si>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</si>
  <si>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</si>
  <si>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</si>
  <si>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</si>
  <si>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</si>
  <si>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</si>
  <si>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</si>
  <si>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</si>
  <si>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</si>
  <si>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</si>
  <si>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</si>
  <si>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</si>
  <si>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</si>
  <si>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</si>
  <si>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</si>
  <si>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</si>
  <si>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</si>
  <si>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</si>
  <si>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</si>
  <si>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</si>
  <si>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</si>
  <si>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</si>
  <si>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</si>
  <si>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</si>
  <si>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</si>
  <si>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</si>
  <si>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</si>
  <si>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</si>
  <si>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</si>
  <si>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</si>
  <si>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</si>
  <si>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</si>
  <si>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</si>
  <si>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</si>
  <si>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</si>
  <si>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</si>
  <si>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</si>
  <si>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</si>
  <si>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</si>
  <si>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</si>
  <si>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</si>
  <si>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</si>
  <si>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</si>
  <si>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</si>
  <si>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</si>
  <si>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</si>
  <si>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</si>
  <si>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</si>
  <si>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</si>
  <si>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</si>
  <si>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</si>
  <si>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</si>
  <si>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</si>
  <si>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</si>
  <si>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</si>
  <si>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</si>
  <si>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</si>
  <si>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</si>
  <si>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</si>
  <si>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</si>
  <si>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</si>
  <si>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</si>
  <si>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</si>
  <si>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</si>
  <si>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</si>
  <si>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</si>
  <si>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</si>
  <si>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</si>
  <si>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</si>
  <si>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</si>
  <si>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</si>
  <si>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</si>
  <si>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</si>
  <si>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</si>
  <si>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</si>
  <si>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</si>
  <si>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</si>
  <si>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</si>
  <si>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</si>
  <si>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</si>
  <si>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</si>
  <si>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</si>
  <si>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</si>
  <si>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</si>
  <si>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</si>
  <si>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</si>
  <si>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</si>
  <si>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</si>
  <si>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</si>
  <si>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</si>
  <si>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</si>
  <si>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</si>
  <si>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</si>
  <si>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</si>
  <si>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</si>
  <si>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</si>
  <si>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</si>
  <si>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</si>
  <si>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</si>
  <si>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</si>
  <si>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</si>
  <si>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</si>
  <si>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</si>
  <si>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</si>
  <si>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</si>
  <si>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</si>
  <si>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</si>
  <si>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</si>
  <si>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</si>
  <si>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</si>
  <si>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</si>
  <si>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</si>
  <si>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</si>
  <si>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</si>
  <si>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</si>
  <si>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</si>
  <si>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</si>
  <si>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</si>
  <si>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</si>
  <si>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</si>
  <si>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</si>
  <si>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</si>
  <si>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</si>
  <si>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</si>
  <si>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</si>
  <si>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</si>
  <si>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</si>
  <si>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</si>
  <si>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</si>
  <si>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</si>
  <si>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</si>
  <si>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</si>
  <si>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</si>
  <si>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</si>
  <si>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</si>
  <si>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</si>
  <si>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</si>
  <si>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</si>
  <si>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</si>
  <si>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</si>
  <si>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</si>
  <si>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</si>
  <si>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</si>
  <si>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</si>
  <si>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</si>
  <si>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</si>
  <si>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</si>
  <si>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</si>
  <si>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</si>
  <si>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</si>
  <si>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</si>
  <si>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</si>
  <si>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</si>
  <si>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</si>
  <si>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</si>
  <si>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</si>
  <si>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</si>
  <si>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</si>
  <si>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</si>
  <si>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</si>
  <si>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</si>
  <si>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</si>
  <si>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</si>
  <si>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</si>
  <si>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</si>
  <si>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</si>
  <si>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</si>
  <si>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</si>
  <si>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</si>
  <si>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</si>
  <si>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</si>
  <si>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</si>
  <si>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</si>
  <si>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</si>
  <si>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</si>
  <si>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</si>
  <si>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</si>
  <si>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</si>
  <si>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</si>
  <si>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</si>
  <si>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</si>
  <si>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</si>
  <si>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</si>
  <si>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</si>
  <si>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</si>
  <si>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</si>
  <si>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</si>
  <si>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</si>
  <si>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</si>
  <si>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</si>
  <si>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</si>
  <si>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</si>
  <si>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</si>
  <si>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</si>
  <si>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</si>
  <si>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</si>
  <si>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</si>
  <si>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</si>
  <si>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</si>
  <si>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</si>
  <si>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</si>
  <si>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</si>
  <si>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</si>
  <si>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</si>
  <si>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</si>
  <si>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</si>
  <si>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</si>
  <si>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</si>
  <si>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</si>
  <si>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</si>
  <si>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</si>
  <si>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</si>
  <si>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</si>
  <si>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</si>
  <si>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</si>
  <si>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</si>
  <si>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</si>
  <si>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</si>
  <si>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</si>
  <si>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</si>
  <si>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</si>
  <si>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</si>
  <si>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</si>
  <si>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</si>
  <si>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</si>
  <si>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</si>
  <si>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</si>
  <si>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</si>
  <si>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</si>
  <si>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</si>
  <si>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</si>
  <si>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</si>
  <si>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</si>
  <si>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</si>
  <si>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</si>
  <si>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</si>
  <si>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</si>
  <si>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</si>
  <si>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</si>
  <si>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</si>
  <si>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</si>
  <si>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</si>
  <si>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</si>
  <si>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</si>
  <si>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</si>
  <si>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</si>
  <si>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</si>
  <si>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</si>
  <si>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</si>
  <si>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</si>
  <si>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</si>
  <si>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</si>
  <si>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</si>
  <si>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</si>
  <si>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</si>
  <si>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</si>
  <si>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</si>
  <si>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</si>
  <si>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</si>
  <si>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</si>
  <si>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</si>
  <si>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</si>
  <si>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</si>
  <si>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</si>
  <si>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</si>
  <si>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</si>
  <si>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</si>
  <si>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</si>
  <si>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</si>
  <si>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</si>
  <si>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</si>
  <si>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</si>
  <si>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</si>
  <si>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</si>
  <si>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</si>
  <si>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</si>
  <si>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</si>
  <si>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</si>
  <si>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</si>
  <si>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</si>
  <si>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</si>
  <si>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</si>
  <si>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</si>
  <si>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</si>
  <si>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</si>
  <si>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</si>
  <si>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</si>
  <si>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</si>
  <si>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</si>
  <si>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</si>
  <si>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</si>
  <si>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</si>
  <si>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</si>
  <si>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</si>
  <si>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</si>
  <si>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</si>
  <si>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</si>
  <si>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</si>
  <si>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</si>
  <si>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</si>
  <si>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</si>
  <si>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</si>
  <si>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</si>
  <si>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</si>
  <si>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</si>
  <si>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</si>
  <si>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</si>
  <si>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</si>
  <si>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</si>
  <si>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</si>
  <si>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</si>
  <si>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</si>
  <si>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</si>
  <si>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</si>
  <si>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</si>
  <si>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</si>
  <si>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</si>
  <si>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</si>
  <si>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</si>
  <si>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</si>
  <si>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</si>
  <si>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</si>
  <si>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</si>
  <si>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</si>
  <si>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</si>
  <si>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</si>
  <si>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</si>
  <si>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</si>
  <si>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</si>
  <si>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</si>
  <si>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</si>
  <si>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</si>
  <si>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</si>
  <si>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</si>
  <si>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</si>
  <si>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</si>
  <si>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</si>
  <si>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</si>
  <si>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</si>
  <si>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</si>
  <si>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</si>
  <si>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</si>
  <si>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</si>
  <si>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</si>
  <si>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</si>
  <si>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</si>
  <si>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</si>
  <si>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</si>
  <si>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</si>
  <si>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</si>
  <si>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</si>
  <si>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</si>
  <si>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</si>
  <si>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</si>
  <si>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</si>
  <si>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</si>
  <si>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</si>
  <si>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</si>
  <si>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</si>
  <si>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</si>
  <si>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</si>
  <si>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</si>
  <si>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</si>
  <si>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</si>
  <si>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</si>
  <si>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</si>
  <si>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</si>
  <si>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</si>
  <si>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</si>
  <si>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</si>
  <si>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</si>
  <si>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</si>
  <si>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</si>
  <si>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</si>
  <si>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</si>
  <si>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</si>
  <si>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</si>
  <si>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</si>
  <si>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</si>
  <si>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</si>
  <si>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</si>
  <si>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</si>
  <si>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</si>
  <si>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</si>
  <si>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</si>
  <si>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</si>
  <si>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</si>
  <si>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</si>
  <si>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</si>
  <si>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</si>
  <si>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</si>
  <si>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</si>
  <si>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</si>
  <si>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</si>
  <si>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</si>
  <si>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</si>
  <si>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</si>
  <si>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</si>
  <si>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</si>
  <si>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</si>
  <si>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</si>
  <si>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</si>
  <si>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</si>
  <si>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</si>
  <si>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</si>
  <si>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</si>
  <si>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</si>
  <si>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</si>
  <si>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</si>
  <si>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</si>
  <si>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</si>
  <si>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</si>
  <si>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</si>
  <si>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</si>
  <si>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</si>
  <si>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</si>
  <si>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</si>
  <si>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</si>
  <si>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</si>
  <si>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</si>
  <si>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</si>
  <si>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</si>
  <si>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</si>
  <si>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</si>
  <si>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</si>
  <si>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</si>
  <si>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</si>
  <si>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</si>
  <si>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</si>
  <si>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</si>
  <si>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</si>
  <si>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</si>
  <si>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</si>
  <si>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</si>
  <si>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</si>
  <si>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</si>
  <si>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</si>
  <si>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</si>
  <si>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</si>
  <si>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</si>
  <si>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</si>
  <si>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</si>
  <si>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</si>
  <si>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</si>
  <si>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</si>
  <si>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</si>
  <si>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</si>
  <si>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</si>
  <si>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</si>
  <si>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</si>
  <si>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</si>
  <si>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</si>
  <si>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</si>
  <si>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</si>
  <si>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</si>
  <si>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</si>
  <si>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</si>
  <si>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</si>
  <si>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</si>
  <si>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</si>
  <si>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</si>
  <si>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</si>
  <si>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</si>
  <si>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</si>
  <si>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</si>
  <si>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</si>
  <si>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</si>
  <si>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</si>
  <si>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</si>
  <si>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</si>
  <si>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</si>
  <si>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</si>
  <si>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</si>
  <si>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</si>
  <si>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</si>
  <si>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</si>
  <si>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</si>
  <si>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</si>
  <si>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</si>
  <si>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</si>
  <si>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</si>
  <si>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</si>
  <si>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</si>
  <si>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</si>
  <si>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</si>
  <si>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</si>
  <si>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</si>
  <si>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</si>
  <si>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</si>
  <si>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</si>
  <si>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</si>
  <si>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</si>
  <si>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</si>
  <si>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</si>
  <si>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</si>
  <si>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</si>
  <si>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</si>
  <si>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</si>
  <si>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</si>
  <si>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</si>
  <si>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</si>
  <si>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</si>
  <si>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</si>
  <si>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</si>
  <si>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</si>
  <si>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</si>
  <si>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</si>
  <si>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</si>
  <si>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</si>
  <si>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</si>
  <si>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</si>
  <si>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</si>
  <si>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</si>
  <si>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</si>
  <si>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</si>
  <si>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</si>
  <si>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</si>
  <si>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</si>
  <si>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</si>
  <si>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</si>
  <si>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</si>
  <si>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</si>
  <si>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</si>
  <si>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</si>
  <si>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</si>
  <si>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</si>
  <si>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</si>
  <si>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</si>
  <si>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</si>
  <si>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</si>
  <si>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</si>
  <si>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</si>
  <si>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</si>
  <si>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</si>
  <si>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</si>
  <si>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</si>
  <si>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</si>
  <si>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</si>
  <si>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</si>
  <si>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</si>
  <si>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</si>
  <si>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</si>
  <si>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</si>
  <si>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</si>
  <si>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</si>
  <si>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</si>
  <si>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</si>
  <si>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</si>
  <si>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</si>
  <si>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</si>
  <si>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</si>
  <si>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</si>
  <si>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</si>
  <si>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</si>
  <si>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</si>
  <si>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</si>
  <si>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</si>
  <si>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</si>
  <si>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</si>
  <si>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</si>
  <si>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</si>
  <si>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</si>
  <si>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</si>
  <si>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</si>
  <si>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</si>
  <si>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</si>
  <si>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</si>
  <si>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</si>
  <si>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</si>
  <si>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</si>
  <si>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</si>
  <si>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</si>
  <si>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</si>
  <si>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</si>
  <si>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</si>
  <si>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</si>
  <si>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</si>
  <si>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</si>
  <si>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</si>
  <si>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</si>
  <si>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</si>
  <si>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</si>
  <si>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</si>
  <si>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</si>
  <si>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</si>
  <si>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</si>
  <si>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</si>
  <si>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</si>
  <si>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</si>
  <si>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</si>
  <si>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</si>
  <si>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</si>
  <si>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</si>
  <si>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</si>
  <si>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</si>
  <si>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</si>
  <si>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</si>
  <si>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</si>
  <si>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</si>
  <si>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</si>
  <si>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</si>
  <si>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</si>
  <si>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</si>
  <si>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</si>
  <si>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</si>
  <si>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</si>
  <si>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</si>
  <si>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</si>
  <si>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</si>
  <si>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</si>
  <si>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</si>
  <si>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</si>
  <si>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</si>
  <si>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</si>
  <si>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</si>
  <si>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</si>
  <si>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</si>
  <si>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</si>
  <si>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</si>
  <si>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</si>
  <si>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</si>
  <si>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</si>
  <si>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</si>
  <si>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</si>
  <si>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</si>
  <si>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</si>
  <si>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</si>
  <si>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</si>
  <si>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</si>
  <si>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</si>
  <si>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</si>
  <si>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</si>
  <si>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</si>
  <si>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</si>
  <si>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</si>
  <si>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</si>
  <si>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</si>
  <si>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</si>
  <si>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</si>
  <si>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</si>
  <si>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</si>
  <si>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</si>
  <si>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</si>
  <si>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</si>
  <si>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</si>
  <si>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</si>
  <si>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</si>
  <si>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</si>
  <si>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</si>
  <si>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</si>
  <si>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</si>
  <si>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</si>
  <si>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</si>
  <si>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</si>
  <si>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</si>
  <si>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</si>
  <si>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</si>
  <si>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</si>
  <si>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</si>
  <si>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</si>
  <si>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</si>
  <si>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</si>
  <si>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</si>
  <si>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</si>
  <si>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</si>
  <si>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</si>
  <si>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</si>
  <si>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</si>
  <si>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</si>
  <si>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</si>
  <si>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</si>
  <si>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</si>
  <si>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</si>
  <si>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</si>
  <si>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</si>
  <si>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</si>
  <si>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</si>
  <si>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</si>
  <si>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</si>
  <si>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</si>
  <si>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</si>
  <si>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</si>
  <si>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</si>
  <si>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</si>
  <si>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</si>
  <si>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</si>
  <si>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</si>
  <si>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</si>
  <si>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</si>
  <si>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</si>
  <si>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</si>
  <si>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</si>
  <si>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</si>
  <si>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</si>
  <si>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</si>
  <si>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</si>
  <si>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</si>
  <si>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</si>
  <si>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</si>
  <si>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</si>
  <si>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</si>
  <si>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</si>
  <si>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</si>
  <si>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</si>
  <si>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</si>
  <si>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</si>
  <si>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</si>
  <si>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</si>
  <si>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</si>
  <si>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</si>
  <si>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</si>
  <si>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</si>
  <si>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</si>
  <si>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</si>
  <si>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</si>
  <si>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</si>
  <si>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</si>
  <si>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</si>
  <si>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</si>
  <si>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</si>
  <si>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</si>
  <si>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</si>
  <si>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</si>
  <si>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</si>
  <si>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</si>
  <si>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</si>
  <si>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</si>
  <si>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</si>
  <si>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</si>
  <si>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</si>
  <si>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</si>
  <si>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</si>
  <si>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</si>
  <si>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</si>
  <si>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</si>
  <si>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</si>
  <si>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</si>
  <si>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</si>
  <si>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</si>
  <si>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</si>
  <si>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</si>
  <si>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</si>
  <si>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</si>
  <si>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</si>
  <si>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</si>
  <si>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</si>
  <si>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</si>
  <si>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</si>
  <si>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</si>
  <si>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</si>
  <si>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</si>
  <si>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</si>
  <si>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</si>
  <si>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</si>
  <si>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</si>
  <si>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</si>
  <si>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</si>
  <si>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</si>
  <si>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</si>
  <si>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</si>
  <si>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</si>
  <si>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</si>
  <si>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</si>
  <si>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</si>
  <si>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</si>
  <si>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</si>
  <si>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</si>
  <si>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</si>
  <si>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</si>
  <si>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</si>
  <si>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</si>
  <si>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</si>
  <si>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</si>
  <si>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</si>
  <si>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</si>
  <si>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</si>
  <si>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</si>
  <si>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</si>
  <si>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</si>
  <si>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</si>
  <si>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</si>
  <si>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</si>
  <si>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</si>
  <si>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</si>
  <si>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</si>
  <si>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</si>
  <si>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</si>
  <si>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</si>
  <si>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</si>
  <si>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</si>
  <si>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</si>
  <si>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</si>
  <si>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</si>
  <si>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</si>
  <si>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</si>
  <si>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</si>
  <si>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</si>
  <si>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</si>
  <si>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</si>
  <si>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</si>
  <si>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</si>
  <si>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</si>
  <si>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</si>
  <si>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</si>
  <si>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</si>
  <si>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</si>
  <si>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</si>
  <si>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</si>
  <si>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</si>
  <si>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</si>
  <si>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</si>
  <si>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</si>
  <si>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</si>
  <si>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</si>
  <si>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</si>
  <si>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</si>
  <si>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</si>
  <si>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</si>
  <si>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</si>
  <si>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</si>
  <si>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</si>
  <si>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</si>
  <si>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</si>
  <si>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</si>
  <si>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</si>
  <si>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</si>
  <si>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</si>
  <si>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</si>
  <si>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</si>
  <si>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</si>
  <si>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</si>
  <si>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</si>
  <si>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</si>
  <si>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</si>
  <si>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</si>
  <si>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</si>
  <si>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</si>
  <si>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</si>
  <si>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</si>
  <si>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</si>
  <si>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</si>
  <si>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</si>
  <si>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</si>
  <si>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</si>
  <si>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</si>
  <si>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</si>
  <si>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</si>
  <si>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</si>
  <si>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</si>
  <si>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</si>
  <si>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</si>
  <si>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</si>
  <si>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</si>
  <si>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</si>
  <si>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</si>
  <si>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</si>
  <si>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</si>
  <si>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</si>
  <si>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</si>
  <si>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</si>
  <si>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</si>
  <si>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</si>
  <si>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</si>
  <si>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</si>
  <si>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</si>
  <si>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</si>
  <si>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</si>
  <si>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</si>
  <si>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</si>
  <si>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</si>
  <si>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</si>
  <si>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</si>
  <si>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</si>
  <si>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</si>
  <si>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</si>
  <si>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</si>
  <si>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</si>
  <si>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</si>
  <si>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</si>
  <si>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</si>
  <si>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</si>
  <si>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</si>
  <si>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</si>
  <si>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</si>
  <si>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</si>
  <si>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</si>
  <si>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</si>
  <si>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</si>
  <si>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</si>
  <si>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</si>
  <si>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</si>
  <si>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</si>
  <si>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</si>
  <si>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</si>
  <si>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</si>
  <si>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</si>
  <si>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</si>
  <si>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</si>
  <si>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</si>
  <si>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</si>
  <si>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</si>
  <si>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</si>
  <si>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</si>
  <si>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</si>
  <si>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</si>
  <si>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</si>
  <si>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</si>
  <si>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</si>
  <si>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</si>
  <si>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</si>
  <si>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</si>
  <si>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</si>
  <si>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</si>
  <si>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</si>
  <si>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</si>
  <si>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</si>
  <si>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</si>
  <si>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</si>
  <si>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</si>
  <si>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</si>
  <si>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</si>
  <si>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</si>
  <si>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</si>
  <si>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</si>
  <si>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</si>
  <si>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</si>
  <si>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</si>
  <si>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</si>
  <si>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</si>
  <si>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</si>
  <si>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</si>
  <si>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</si>
  <si>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</si>
  <si>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</si>
  <si>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</si>
  <si>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</si>
  <si>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</si>
  <si>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</si>
  <si>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</si>
  <si>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</si>
  <si>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</si>
  <si>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</si>
  <si>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</si>
  <si>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</si>
  <si>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</si>
  <si>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</si>
  <si>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</si>
  <si>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</si>
  <si>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</si>
  <si>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</si>
  <si>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</si>
  <si>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</si>
  <si>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</si>
  <si>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</si>
  <si>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</si>
  <si>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</si>
  <si>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</si>
  <si>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</si>
  <si>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</si>
  <si>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</si>
  <si>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</si>
  <si>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</si>
  <si>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</si>
  <si>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</si>
  <si>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</si>
  <si>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</si>
  <si>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</si>
  <si>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</si>
  <si>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</si>
  <si>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</si>
  <si>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</si>
  <si>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</si>
  <si>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</si>
  <si>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</si>
  <si>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</si>
  <si>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</si>
  <si>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</si>
  <si>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</si>
  <si>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</si>
  <si>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</si>
  <si>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</si>
  <si>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</si>
  <si>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</si>
  <si>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</si>
  <si>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</si>
  <si>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</si>
  <si>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</si>
  <si>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</si>
  <si>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</si>
  <si>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</si>
  <si>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</si>
  <si>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</si>
  <si>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</si>
  <si>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</si>
  <si>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</si>
  <si>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</si>
  <si>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</si>
  <si>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</si>
  <si>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</si>
  <si>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</si>
  <si>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</si>
  <si>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</si>
  <si>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</si>
  <si>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</si>
  <si>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</si>
  <si>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</si>
  <si>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</si>
  <si>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</si>
  <si>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</si>
  <si>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</si>
  <si>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</si>
  <si>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</si>
  <si>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</si>
  <si>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</si>
  <si>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</si>
  <si>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</si>
  <si>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</si>
  <si>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</si>
  <si>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</si>
  <si>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</si>
  <si>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</si>
  <si>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</si>
  <si>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</si>
  <si>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</si>
  <si>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</si>
  <si>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</si>
  <si>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</si>
  <si>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</si>
  <si>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</si>
  <si>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</si>
  <si>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</si>
  <si>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</si>
  <si>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</si>
  <si>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</si>
  <si>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</si>
  <si>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</si>
  <si>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</si>
  <si>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</si>
  <si>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</si>
  <si>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</si>
  <si>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</si>
  <si>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</si>
  <si>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</si>
  <si>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</si>
  <si>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</si>
  <si>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</si>
  <si>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</si>
  <si>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</si>
  <si>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</si>
  <si>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</si>
  <si>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</si>
  <si>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</si>
  <si>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</si>
  <si>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</si>
  <si>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</si>
  <si>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</si>
  <si>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</si>
  <si>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</si>
  <si>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</si>
  <si>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</si>
  <si>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</si>
  <si>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</si>
  <si>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</si>
  <si>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</si>
  <si>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</si>
  <si>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</si>
  <si>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</si>
  <si>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</si>
  <si>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</si>
  <si>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</si>
  <si>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</si>
  <si>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</si>
  <si>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</si>
  <si>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</si>
  <si>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</si>
  <si>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</si>
  <si>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</si>
  <si>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</si>
  <si>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</si>
  <si>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</si>
  <si>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</si>
  <si>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</si>
  <si>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</si>
  <si>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</si>
  <si>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</si>
  <si>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</si>
  <si>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</si>
  <si>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</si>
  <si>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</si>
  <si>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</si>
  <si>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</si>
  <si>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</si>
  <si>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</si>
  <si>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</si>
  <si>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</si>
  <si>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</si>
  <si>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</si>
  <si>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</si>
  <si>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</si>
  <si>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</si>
  <si>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</si>
  <si>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</si>
  <si>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</si>
  <si>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</si>
  <si>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</si>
  <si>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</si>
  <si>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</si>
  <si>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</si>
  <si>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</si>
  <si>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</si>
  <si>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</si>
  <si>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</si>
  <si>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</si>
  <si>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</si>
  <si>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</si>
  <si>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</si>
  <si>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</si>
  <si>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</si>
  <si>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</si>
  <si>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</si>
  <si>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</si>
  <si>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</si>
  <si>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</si>
  <si>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</si>
  <si>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</si>
  <si>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</si>
  <si>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</si>
  <si>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</si>
  <si>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</si>
  <si>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</si>
  <si>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</si>
  <si>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</si>
  <si>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</si>
  <si>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</si>
  <si>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</si>
  <si>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</si>
  <si>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</si>
  <si>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</si>
  <si>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</si>
  <si>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</si>
  <si>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</si>
  <si>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</si>
  <si>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</si>
  <si>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</si>
  <si>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</si>
  <si>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</si>
  <si>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</si>
  <si>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</si>
  <si>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</si>
  <si>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</si>
  <si>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</si>
  <si>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</si>
  <si>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</si>
  <si>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</si>
  <si>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</si>
  <si>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</si>
  <si>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</si>
  <si>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</si>
  <si>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</si>
  <si>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</si>
  <si>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</si>
  <si>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</si>
  <si>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</si>
  <si>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</si>
  <si>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</si>
  <si>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</si>
  <si>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</si>
  <si>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</si>
  <si>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</si>
  <si>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</si>
  <si>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</si>
  <si>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</si>
  <si>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</si>
  <si>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</si>
  <si>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</si>
  <si>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</si>
  <si>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</si>
  <si>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</si>
  <si>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</si>
  <si>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</si>
  <si>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</si>
  <si>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</si>
  <si>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</si>
  <si>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</si>
  <si>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</si>
  <si>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</si>
  <si>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</si>
  <si>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</si>
  <si>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</si>
  <si>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</si>
  <si>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</si>
  <si>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</si>
  <si>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</si>
  <si>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</si>
  <si>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</si>
  <si>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</si>
  <si>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</si>
  <si>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</si>
  <si>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</si>
  <si>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</si>
  <si>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</si>
  <si>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</si>
  <si>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</si>
  <si>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</si>
  <si>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</si>
  <si>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</si>
  <si>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</si>
  <si>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</si>
  <si>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</si>
  <si>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</si>
  <si>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</si>
  <si>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</si>
  <si>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</si>
  <si>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</si>
  <si>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</si>
  <si>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</si>
  <si>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</si>
  <si>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</si>
  <si>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</si>
  <si>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</si>
  <si>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</si>
  <si>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</si>
  <si>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</si>
  <si>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</si>
  <si>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</si>
  <si>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</si>
  <si>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</si>
  <si>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</si>
  <si>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</si>
  <si>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</si>
  <si>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</si>
  <si>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</si>
  <si>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</si>
  <si>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</si>
  <si>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</si>
  <si>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</si>
  <si>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</si>
  <si>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</si>
  <si>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</si>
  <si>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</si>
  <si>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</si>
  <si>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</si>
  <si>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</si>
  <si>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</si>
  <si>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</si>
  <si>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</si>
  <si>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</si>
  <si>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</si>
  <si>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</si>
  <si>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</si>
  <si>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</si>
  <si>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</si>
  <si>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</si>
  <si>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</si>
  <si>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</si>
  <si>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</si>
  <si>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</si>
  <si>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</si>
  <si>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</si>
  <si>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</si>
  <si>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</si>
  <si>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</si>
  <si>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</si>
  <si>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</si>
  <si>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</si>
  <si>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</si>
  <si>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</si>
  <si>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</si>
  <si>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</si>
  <si>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</si>
  <si>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</si>
  <si>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</si>
  <si>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</si>
  <si>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</si>
  <si>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</si>
  <si>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</si>
  <si>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</si>
  <si>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</si>
  <si>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</si>
  <si>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</si>
  <si>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</si>
  <si>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</si>
  <si>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</si>
  <si>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</si>
  <si>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</si>
  <si>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</si>
  <si>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</si>
  <si>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</si>
  <si>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</si>
  <si>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</si>
  <si>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</si>
  <si>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</si>
  <si>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</si>
  <si>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</si>
  <si>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</si>
  <si>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</si>
  <si>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</si>
  <si>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</si>
  <si>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</si>
  <si>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</si>
  <si>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</si>
  <si>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</si>
  <si>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</si>
  <si>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</si>
  <si>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</si>
  <si>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</si>
  <si>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</si>
  <si>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</si>
  <si>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</si>
  <si>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</si>
  <si>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</si>
  <si>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</si>
  <si>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</si>
  <si>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</si>
  <si>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</si>
  <si>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</si>
  <si>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</si>
  <si>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</si>
  <si>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</si>
  <si>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</si>
  <si>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</si>
  <si>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</si>
  <si>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</si>
  <si>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</si>
  <si>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</si>
  <si>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</si>
  <si>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</si>
  <si>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</si>
  <si>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</si>
  <si>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</si>
  <si>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</si>
  <si>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</si>
  <si>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</si>
  <si>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</si>
  <si>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</si>
  <si>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</si>
  <si>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</si>
  <si>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</si>
  <si>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</si>
  <si>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</si>
  <si>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</si>
  <si>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</si>
  <si>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</si>
  <si>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</si>
  <si>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</si>
  <si>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</si>
  <si>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</si>
  <si>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</si>
  <si>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</si>
  <si>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</si>
  <si>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</si>
  <si>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</si>
  <si>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</si>
  <si>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</si>
  <si>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</si>
  <si>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</si>
  <si>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</si>
  <si>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</si>
  <si>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</si>
  <si>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</si>
  <si>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</si>
  <si>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</si>
  <si>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</si>
  <si>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</si>
  <si>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</si>
  <si>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</si>
  <si>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</si>
  <si>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</si>
  <si>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</si>
  <si>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</si>
  <si>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</si>
  <si>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</si>
  <si>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</si>
  <si>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</si>
  <si>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</si>
  <si>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</si>
  <si>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</si>
  <si>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</si>
  <si>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</si>
  <si>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</si>
  <si>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</si>
  <si>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</si>
  <si>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</si>
  <si>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</si>
  <si>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</si>
  <si>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</si>
  <si>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</si>
  <si>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</si>
  <si>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</si>
  <si>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</si>
  <si>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</si>
  <si>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</si>
  <si>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</si>
  <si>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</si>
  <si>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</si>
  <si>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</si>
  <si>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</si>
  <si>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</si>
  <si>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</si>
  <si>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</si>
  <si>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</si>
  <si>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</si>
  <si>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</si>
  <si>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</si>
  <si>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</si>
  <si>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</si>
  <si>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</si>
  <si>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</si>
  <si>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</si>
  <si>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</si>
  <si>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</si>
  <si>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</si>
  <si>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</si>
  <si>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</si>
  <si>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</si>
  <si>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</si>
  <si>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</si>
  <si>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</si>
  <si>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</si>
  <si>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</si>
  <si>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</si>
  <si>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</si>
  <si>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</si>
  <si>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</si>
  <si>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</si>
  <si>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</si>
  <si>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</si>
  <si>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</si>
  <si>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</si>
  <si>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</si>
  <si>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</si>
  <si>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</si>
  <si>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</si>
  <si>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</si>
  <si>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</si>
  <si>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</si>
  <si>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</si>
  <si>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</si>
  <si>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</si>
  <si>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</si>
  <si>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</si>
  <si>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</si>
  <si>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</si>
  <si>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</si>
  <si>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</si>
  <si>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</si>
  <si>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</si>
  <si>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</si>
  <si>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</si>
  <si>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</si>
  <si>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</si>
  <si>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</si>
  <si>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</si>
  <si>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</si>
  <si>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</si>
  <si>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</si>
  <si>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</si>
  <si>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</si>
  <si>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</si>
  <si>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</si>
  <si>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</si>
  <si>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</si>
  <si>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</si>
  <si>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</si>
  <si>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</si>
  <si>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</si>
  <si>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</si>
  <si>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</si>
  <si>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</si>
  <si>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</si>
  <si>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</si>
  <si>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</si>
  <si>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</si>
  <si>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</si>
  <si>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</si>
  <si>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</si>
  <si>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</si>
  <si>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</si>
  <si>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</si>
  <si>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</si>
  <si>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</si>
  <si>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</si>
  <si>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</si>
  <si>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</si>
  <si>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</si>
  <si>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</si>
  <si>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</si>
  <si>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</si>
  <si>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</si>
  <si>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</si>
  <si>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</si>
  <si>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</si>
  <si>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</si>
  <si>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</si>
  <si>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</si>
  <si>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</si>
  <si>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</si>
  <si>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</si>
  <si>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</si>
  <si>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</si>
  <si>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</si>
  <si>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</si>
  <si>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</si>
  <si>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</si>
  <si>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</si>
  <si>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</si>
  <si>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</si>
  <si>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</si>
  <si>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</si>
  <si>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</si>
  <si>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</si>
  <si>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</si>
  <si>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</si>
  <si>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</si>
  <si>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</si>
  <si>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</si>
  <si>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</si>
  <si>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</si>
  <si>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</si>
  <si>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</si>
  <si>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</si>
  <si>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</si>
  <si>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</si>
  <si>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</si>
  <si>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</si>
  <si>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</si>
  <si>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</si>
  <si>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</si>
  <si>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</si>
  <si>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</si>
  <si>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</si>
  <si>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</si>
  <si>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</si>
  <si>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</si>
  <si>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</si>
  <si>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</si>
  <si>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</si>
  <si>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</si>
  <si>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</si>
  <si>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</si>
  <si>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</si>
  <si>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</si>
  <si>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</si>
  <si>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</si>
  <si>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</si>
  <si>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</si>
  <si>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</si>
  <si>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</si>
  <si>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</si>
  <si>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</si>
  <si>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</si>
  <si>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</si>
  <si>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</si>
  <si>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</si>
  <si>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</si>
  <si>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</si>
  <si>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</si>
  <si>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</si>
  <si>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</si>
  <si>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</si>
  <si>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</si>
  <si>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</si>
  <si>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</si>
  <si>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</si>
  <si>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</si>
  <si>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</si>
  <si>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</si>
  <si>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</si>
  <si>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</si>
  <si>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</si>
  <si>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</si>
  <si>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</si>
  <si>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</si>
  <si>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</si>
  <si>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</si>
  <si>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</si>
  <si>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</si>
  <si>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</si>
  <si>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</si>
  <si>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</si>
  <si>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</si>
  <si>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</si>
  <si>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</si>
  <si>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</si>
  <si>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</si>
  <si>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</si>
  <si>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</si>
  <si>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</si>
  <si>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</si>
  <si>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</si>
  <si>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</si>
  <si>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</si>
  <si>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</si>
  <si>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</si>
  <si>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</si>
  <si>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</si>
  <si>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</si>
  <si>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</si>
  <si>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</si>
  <si>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</si>
  <si>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</si>
  <si>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</si>
  <si>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</si>
  <si>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</si>
  <si>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</si>
  <si>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</si>
  <si>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</si>
  <si>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</si>
  <si>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</si>
  <si>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</si>
  <si>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</si>
  <si>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</si>
  <si>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</si>
  <si>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</si>
  <si>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</si>
  <si>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</si>
  <si>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</si>
  <si>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</si>
  <si>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</si>
  <si>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</si>
  <si>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</si>
  <si>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</si>
  <si>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</si>
  <si>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</si>
  <si>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</si>
  <si>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</si>
  <si>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</si>
  <si>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</si>
  <si>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</si>
  <si>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</si>
  <si>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</si>
  <si>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</si>
  <si>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</si>
  <si>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</si>
  <si>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</si>
  <si>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</si>
  <si>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</si>
  <si>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</si>
  <si>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</si>
  <si>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</si>
  <si>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</si>
  <si>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</si>
  <si>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</si>
  <si>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</si>
  <si>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</si>
  <si>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</si>
  <si>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</si>
  <si>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</si>
  <si>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</si>
  <si>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</si>
  <si>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</si>
  <si>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</si>
  <si>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</si>
  <si>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</si>
  <si>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</si>
  <si>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</si>
  <si>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</si>
  <si>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</si>
  <si>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</si>
  <si>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</si>
  <si>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</si>
  <si>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</si>
  <si>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</si>
  <si>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</si>
  <si>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</si>
  <si>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</si>
  <si>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</si>
  <si>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</si>
  <si>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</si>
  <si>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</si>
  <si>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</si>
  <si>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</si>
  <si>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</si>
  <si>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</si>
  <si>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</si>
  <si>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</si>
  <si>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</si>
  <si>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</si>
  <si>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</si>
  <si>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</si>
  <si>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</si>
  <si>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</si>
  <si>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</si>
  <si>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</si>
  <si>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</si>
  <si>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</si>
  <si>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</si>
  <si>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</si>
  <si>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</si>
  <si>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</si>
  <si>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</si>
  <si>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</si>
  <si>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</si>
  <si>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</si>
  <si>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</si>
  <si>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</si>
  <si>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</si>
  <si>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</si>
  <si>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</si>
  <si>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</si>
  <si>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</si>
  <si>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</si>
  <si>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</si>
  <si>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</si>
  <si>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</si>
  <si>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</si>
  <si>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</si>
  <si>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</si>
  <si>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</si>
  <si>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</si>
  <si>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</si>
  <si>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</si>
  <si>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</si>
  <si>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</si>
  <si>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</si>
  <si>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</si>
  <si>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</si>
  <si>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</si>
  <si>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</si>
  <si>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</si>
  <si>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</si>
  <si>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</si>
  <si>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</si>
  <si>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</si>
  <si>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</si>
  <si>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</si>
  <si>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</si>
  <si>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</si>
  <si>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</si>
  <si>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</si>
  <si>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</si>
  <si>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</si>
  <si>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</si>
  <si>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</si>
  <si>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</si>
  <si>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</si>
  <si>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</si>
  <si>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</si>
  <si>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</si>
  <si>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</si>
  <si>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</si>
  <si>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</si>
  <si>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</si>
  <si>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</si>
  <si>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</si>
  <si>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</si>
  <si>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</si>
  <si>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</si>
  <si>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</si>
  <si>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</si>
  <si>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</si>
  <si>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</si>
  <si>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</si>
  <si>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</si>
  <si>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</si>
  <si>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</si>
  <si>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</si>
  <si>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</si>
  <si>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</si>
  <si>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</si>
  <si>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</si>
  <si>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</si>
  <si>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</si>
  <si>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</si>
  <si>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</si>
  <si>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</si>
  <si>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</si>
  <si>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</si>
  <si>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</si>
  <si>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</si>
  <si>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</si>
  <si>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</si>
  <si>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</si>
  <si>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</si>
  <si>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</si>
  <si>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</si>
  <si>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</si>
  <si>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</si>
  <si>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</si>
  <si>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</si>
  <si>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</si>
  <si>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</si>
  <si>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</si>
  <si>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</si>
  <si>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</si>
  <si>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</si>
  <si>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</si>
  <si>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</si>
  <si>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</si>
  <si>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</si>
  <si>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</si>
  <si>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</si>
  <si>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</si>
  <si>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</si>
  <si>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</si>
  <si>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</si>
  <si>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</si>
  <si>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</si>
  <si>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</si>
  <si>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</si>
  <si>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</si>
  <si>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</si>
  <si>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</si>
  <si>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</si>
  <si>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</si>
  <si>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</si>
  <si>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</si>
  <si>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</si>
  <si>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</si>
  <si>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</si>
  <si>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</si>
  <si>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</si>
  <si>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</si>
  <si>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</si>
  <si>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</si>
  <si>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</si>
  <si>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</si>
  <si>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</si>
  <si>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</si>
  <si>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</si>
  <si>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</si>
  <si>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</si>
  <si>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</si>
  <si>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</si>
  <si>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</si>
  <si>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</si>
  <si>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</si>
  <si>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</si>
  <si>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</si>
  <si>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</si>
  <si>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</si>
  <si>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</si>
  <si>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</si>
  <si>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</si>
  <si>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</si>
  <si>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</si>
  <si>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</si>
  <si>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</si>
  <si>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</si>
  <si>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</si>
  <si>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</si>
  <si>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</si>
  <si>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</si>
  <si>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</si>
  <si>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</si>
  <si>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</si>
  <si>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</si>
  <si>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</si>
  <si>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</si>
  <si>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</si>
  <si>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</si>
  <si>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</si>
  <si>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</si>
  <si>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</si>
  <si>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</si>
  <si>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</si>
  <si>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</si>
  <si>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</si>
  <si>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</si>
  <si>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</si>
  <si>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</si>
  <si>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</si>
  <si>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</si>
  <si>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</si>
  <si>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</si>
  <si>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</si>
  <si>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</si>
  <si>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</si>
  <si>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</si>
  <si>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</si>
  <si>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</si>
  <si>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</si>
  <si>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</si>
  <si>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</si>
  <si>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</si>
  <si>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</si>
  <si>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</si>
  <si>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</si>
  <si>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</si>
  <si>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</si>
  <si>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</si>
  <si>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</si>
  <si>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</si>
  <si>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</si>
  <si>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</si>
  <si>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</si>
  <si>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</si>
  <si>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</si>
  <si>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</si>
  <si>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</si>
  <si>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</si>
  <si>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</si>
  <si>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</si>
  <si>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</si>
  <si>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</si>
  <si>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</si>
  <si>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</si>
  <si>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</si>
  <si>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</si>
  <si>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</si>
  <si>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</si>
  <si>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</si>
  <si>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</si>
  <si>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</si>
  <si>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</si>
  <si>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</si>
  <si>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</si>
  <si>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</si>
  <si>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</si>
  <si>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</si>
  <si>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</si>
  <si>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</si>
  <si>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</si>
  <si>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</si>
  <si>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</si>
  <si>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</si>
  <si>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</si>
  <si>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</si>
  <si>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</si>
  <si>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</si>
  <si>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</si>
  <si>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</si>
  <si>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</si>
  <si>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</si>
  <si>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</si>
  <si>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</si>
  <si>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</si>
  <si>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</si>
  <si>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</si>
  <si>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</si>
  <si>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</si>
  <si>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</si>
  <si>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</si>
  <si>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</si>
  <si>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</si>
  <si>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</si>
  <si>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</si>
  <si>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</si>
  <si>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</si>
  <si>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</si>
  <si>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</si>
  <si>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</si>
  <si>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</si>
  <si>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</si>
  <si>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</si>
  <si>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</si>
  <si>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</si>
  <si>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</si>
  <si>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</si>
  <si>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</si>
  <si>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</si>
  <si>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</si>
  <si>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</si>
  <si>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</si>
  <si>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</si>
  <si>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</si>
  <si>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</si>
  <si>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</si>
  <si>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</si>
  <si>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</si>
  <si>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</si>
  <si>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</si>
  <si>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</si>
  <si>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</si>
  <si>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</si>
  <si>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</si>
  <si>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</si>
  <si>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</si>
  <si>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</si>
  <si>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</si>
  <si>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</si>
  <si>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</si>
  <si>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</si>
  <si>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</si>
  <si>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</si>
  <si>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</si>
  <si>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</si>
  <si>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</si>
  <si>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</si>
  <si>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</si>
  <si>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</si>
  <si>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</si>
  <si>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</si>
  <si>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</si>
  <si>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</si>
  <si>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</si>
  <si>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</si>
  <si>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</si>
  <si>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</si>
  <si>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</si>
  <si>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</si>
  <si>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</si>
  <si>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</si>
  <si>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</si>
  <si>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</si>
  <si>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</si>
  <si>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</si>
  <si>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</si>
  <si>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</si>
  <si>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</si>
  <si>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</si>
  <si>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</si>
  <si>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</si>
  <si>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</si>
  <si>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</si>
  <si>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</si>
  <si>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</si>
  <si>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</si>
  <si>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</si>
  <si>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</si>
  <si>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</si>
  <si>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</si>
  <si>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</si>
  <si>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</si>
  <si>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</si>
  <si>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</si>
  <si>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</si>
  <si>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</si>
  <si>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</si>
  <si>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</si>
  <si>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</si>
  <si>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</si>
  <si>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</si>
  <si>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</si>
  <si>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</si>
  <si>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</si>
  <si>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</si>
  <si>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</si>
  <si>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</si>
  <si>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</si>
  <si>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</si>
  <si>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</si>
  <si>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</si>
  <si>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</si>
  <si>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</si>
  <si>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</si>
  <si>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</si>
  <si>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</si>
  <si>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</si>
  <si>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</si>
  <si>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</si>
  <si>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</si>
  <si>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</si>
  <si>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</si>
  <si>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</si>
  <si>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</si>
  <si>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</si>
  <si>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</si>
  <si>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</si>
  <si>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</si>
  <si>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</si>
  <si>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</si>
  <si>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</si>
  <si>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</si>
  <si>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</si>
  <si>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</si>
  <si>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</si>
  <si>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</si>
  <si>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</si>
  <si>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</si>
  <si>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</si>
  <si>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</si>
  <si>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</si>
  <si>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</si>
  <si>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</si>
  <si>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</si>
  <si>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</si>
  <si>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</si>
  <si>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</si>
  <si>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</si>
  <si>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</si>
  <si>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</si>
  <si>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</si>
  <si>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</si>
  <si>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</si>
  <si>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</si>
  <si>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</si>
  <si>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</si>
  <si>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</si>
  <si>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</si>
  <si>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</si>
  <si>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</si>
  <si>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</si>
  <si>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</si>
  <si>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</si>
  <si>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</si>
  <si>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</si>
  <si>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</si>
  <si>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</si>
  <si>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</si>
  <si>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</si>
  <si>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</si>
  <si>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</si>
  <si>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</si>
  <si>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</si>
  <si>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</si>
  <si>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</si>
  <si>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</si>
  <si>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</si>
  <si>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</si>
  <si>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</si>
  <si>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</si>
  <si>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</si>
  <si>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</si>
  <si>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</si>
  <si>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</si>
  <si>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</si>
  <si>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</si>
  <si>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</si>
  <si>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</si>
  <si>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</si>
  <si>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</si>
  <si>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</si>
  <si>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</si>
  <si>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</si>
  <si>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</si>
  <si>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</si>
  <si>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</si>
  <si>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</si>
  <si>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</si>
  <si>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</si>
  <si>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</si>
  <si>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</si>
  <si>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</si>
  <si>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</si>
  <si>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</si>
  <si>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</si>
  <si>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</si>
  <si>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</si>
  <si>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</si>
  <si>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</si>
  <si>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</si>
  <si>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</si>
  <si>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</si>
  <si>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</si>
  <si>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</si>
  <si>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</si>
  <si>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</si>
  <si>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</si>
  <si>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</si>
  <si>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</si>
  <si>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</si>
  <si>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</si>
  <si>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</si>
  <si>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</si>
  <si>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</si>
  <si>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</si>
  <si>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</si>
  <si>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</si>
  <si>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</si>
  <si>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</si>
  <si>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</si>
  <si>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</si>
  <si>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</si>
  <si>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</si>
  <si>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</si>
  <si>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</si>
  <si>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</si>
  <si>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</si>
  <si>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</si>
  <si>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</si>
  <si>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</si>
  <si>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</si>
  <si>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</si>
  <si>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</si>
  <si>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</si>
  <si>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</si>
  <si>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</si>
  <si>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</si>
  <si>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</si>
  <si>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</si>
  <si>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</si>
  <si>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</si>
  <si>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</si>
  <si>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</si>
  <si>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</si>
  <si>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</si>
  <si>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</si>
  <si>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</si>
  <si>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</si>
  <si>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</si>
  <si>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</si>
  <si>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</si>
  <si>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</si>
  <si>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</si>
  <si>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</si>
  <si>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</si>
  <si>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</si>
  <si>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</si>
  <si>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</si>
  <si>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</si>
  <si>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</si>
  <si>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</si>
  <si>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</si>
  <si>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</si>
  <si>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</si>
  <si>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</si>
  <si>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</si>
  <si>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</si>
  <si>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</si>
  <si>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</si>
  <si>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</si>
  <si>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</si>
  <si>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</si>
  <si>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</si>
  <si>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</si>
  <si>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</si>
  <si>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</si>
  <si>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</si>
  <si>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</si>
  <si>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</si>
  <si>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</si>
  <si>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</si>
  <si>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</si>
  <si>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</si>
  <si>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</si>
  <si>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</si>
  <si>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</si>
  <si>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</si>
  <si>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</si>
  <si>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</si>
  <si>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</si>
  <si>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</si>
  <si>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</si>
  <si>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</si>
  <si>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</si>
  <si>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</si>
  <si>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</si>
  <si>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</si>
  <si>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</si>
  <si>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</si>
  <si>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</si>
  <si>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</si>
  <si>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</si>
  <si>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</si>
  <si>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</si>
  <si>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</si>
  <si>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</si>
  <si>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</si>
  <si>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</si>
  <si>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</si>
  <si>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</si>
  <si>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</si>
  <si>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</si>
  <si>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</si>
  <si>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</si>
  <si>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</si>
  <si>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</si>
  <si>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</si>
  <si>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</si>
  <si>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</si>
  <si>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</si>
  <si>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</si>
  <si>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</si>
  <si>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</si>
  <si>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</si>
  <si>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</si>
  <si>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</si>
  <si>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</si>
  <si>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</si>
  <si>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</si>
  <si>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</si>
  <si>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</si>
  <si>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</si>
  <si>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</si>
  <si>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</si>
  <si>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</si>
  <si>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</si>
  <si>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</si>
  <si>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</si>
  <si>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</si>
  <si>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</si>
  <si>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</si>
  <si>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</si>
  <si>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</si>
  <si>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</si>
  <si>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</si>
  <si>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</si>
  <si>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</si>
  <si>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</si>
  <si>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</si>
  <si>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</si>
  <si>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</si>
  <si>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</si>
  <si>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</si>
  <si>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</si>
  <si>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</si>
  <si>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</si>
  <si>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</si>
  <si>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</si>
  <si>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</si>
  <si>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</si>
  <si>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</si>
  <si>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</si>
  <si>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</si>
  <si>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</si>
  <si>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</si>
  <si>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</si>
  <si>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</si>
  <si>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</si>
  <si>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</si>
  <si>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</si>
  <si>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</si>
  <si>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</si>
  <si>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</si>
  <si>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</si>
  <si>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</si>
  <si>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</si>
  <si>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</si>
  <si>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</si>
  <si>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</si>
  <si>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</si>
  <si>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</si>
  <si>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</si>
  <si>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</si>
  <si>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</si>
  <si>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</si>
  <si>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</si>
  <si>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</si>
  <si>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</si>
  <si>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</si>
  <si>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</si>
  <si>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</si>
  <si>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</si>
  <si>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</si>
  <si>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</si>
  <si>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</si>
  <si>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</si>
  <si>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</si>
  <si>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</si>
  <si>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</si>
  <si>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</si>
  <si>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</si>
  <si>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</si>
  <si>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</si>
  <si>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</si>
  <si>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</si>
  <si>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</si>
  <si>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</si>
  <si>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</si>
  <si>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</si>
  <si>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</si>
  <si>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</si>
  <si>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</si>
  <si>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</si>
  <si>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</si>
  <si>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</si>
  <si>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</si>
  <si>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</si>
  <si>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</si>
  <si>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</si>
  <si>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</si>
  <si>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</si>
  <si>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</si>
  <si>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</si>
  <si>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</si>
  <si>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</si>
  <si>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</si>
  <si>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</si>
  <si>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</si>
  <si>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</si>
  <si>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</si>
  <si>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</si>
  <si>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</si>
  <si>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</si>
  <si>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</si>
  <si>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</si>
  <si>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</si>
  <si>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</si>
  <si>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</si>
  <si>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</si>
  <si>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</si>
  <si>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</si>
  <si>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</si>
  <si>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</si>
  <si>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</si>
  <si>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</si>
  <si>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</si>
  <si>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</si>
  <si>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</si>
  <si>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</si>
  <si>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</si>
  <si>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</si>
  <si>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</si>
  <si>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</si>
  <si>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</si>
  <si>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</si>
  <si>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</si>
  <si>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</si>
  <si>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</si>
  <si>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</si>
  <si>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</si>
  <si>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</si>
  <si>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</si>
  <si>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</si>
  <si>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</si>
  <si>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</si>
  <si>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</si>
  <si>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</si>
  <si>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</si>
  <si>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</si>
  <si>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</si>
  <si>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</si>
  <si>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</si>
  <si>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</si>
  <si>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</si>
  <si>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</si>
  <si>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</si>
  <si>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</si>
  <si>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</si>
  <si>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</si>
  <si>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</si>
  <si>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</si>
  <si>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</si>
  <si>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</si>
  <si>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</si>
  <si>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</si>
  <si>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</si>
  <si>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</si>
  <si>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</si>
  <si>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</si>
  <si>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</si>
  <si>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</si>
  <si>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</si>
  <si>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</si>
  <si>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</si>
  <si>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</si>
  <si>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</si>
  <si>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</si>
  <si>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</si>
  <si>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</si>
  <si>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</si>
  <si>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</si>
  <si>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</si>
  <si>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</si>
  <si>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</si>
  <si>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</si>
  <si>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</si>
  <si>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</si>
  <si>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</si>
  <si>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</si>
  <si>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</si>
  <si>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</si>
  <si>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</si>
  <si>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</si>
  <si>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</si>
  <si>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</si>
  <si>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</si>
  <si>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</si>
  <si>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</si>
  <si>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</si>
  <si>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</si>
  <si>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</si>
  <si>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</si>
  <si>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</si>
  <si>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</si>
  <si>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</si>
  <si>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</si>
  <si>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</si>
  <si>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</si>
  <si>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</si>
  <si>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</si>
  <si>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</si>
  <si>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</si>
  <si>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</si>
  <si>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</si>
  <si>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</si>
  <si>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</si>
  <si>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</si>
  <si>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</si>
  <si>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</si>
  <si>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</si>
  <si>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</si>
  <si>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</si>
  <si>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</si>
  <si>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</si>
  <si>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</si>
  <si>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</si>
  <si>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</si>
  <si>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</si>
  <si>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</si>
  <si>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</si>
  <si>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</si>
  <si>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</si>
  <si>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</si>
  <si>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</si>
  <si>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</si>
  <si>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</si>
  <si>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</si>
  <si>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</si>
  <si>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</si>
  <si>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</si>
  <si>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</si>
  <si>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</si>
  <si>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</si>
  <si>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</si>
  <si>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</si>
  <si>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</si>
  <si>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</si>
  <si>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</si>
  <si>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</si>
  <si>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</si>
  <si>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</si>
  <si>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</si>
  <si>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</si>
  <si>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</si>
  <si>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</si>
  <si>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</si>
  <si>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</si>
  <si>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</si>
  <si>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</si>
  <si>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</si>
  <si>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</si>
  <si>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</si>
  <si>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</si>
  <si>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</si>
  <si>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</si>
  <si>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</si>
  <si>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</si>
  <si>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</si>
  <si>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</si>
  <si>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</si>
  <si>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</si>
  <si>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</si>
  <si>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</si>
  <si>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</si>
  <si>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</si>
  <si>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</si>
  <si>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</si>
  <si>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</si>
  <si>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</si>
  <si>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</si>
  <si>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</si>
  <si>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</si>
  <si>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</si>
  <si>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</si>
  <si>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</si>
  <si>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</si>
  <si>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</si>
  <si>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</si>
  <si>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</si>
  <si>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</si>
  <si>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</si>
  <si>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</si>
  <si>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</si>
  <si>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</si>
  <si>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</si>
  <si>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</si>
  <si>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</si>
  <si>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</si>
  <si>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</si>
  <si>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</si>
  <si>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</si>
  <si>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</si>
  <si>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</si>
  <si>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</si>
  <si>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</si>
  <si>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</si>
  <si>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</si>
  <si>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</si>
  <si>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</si>
  <si>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</si>
  <si>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</si>
  <si>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</si>
  <si>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</si>
  <si>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</si>
  <si>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</si>
  <si>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</si>
  <si>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</si>
  <si>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</si>
  <si>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</si>
  <si>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</si>
  <si>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</si>
  <si>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</si>
  <si>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</si>
  <si>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</si>
  <si>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</si>
  <si>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</si>
  <si>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</si>
  <si>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</si>
  <si>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</si>
  <si>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</si>
  <si>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</si>
  <si>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</si>
  <si>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</si>
  <si>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</si>
  <si>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</si>
  <si>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</si>
  <si>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</si>
  <si>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</si>
  <si>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</si>
  <si>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</si>
  <si>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</si>
  <si>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</si>
  <si>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</si>
  <si>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</si>
  <si>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</si>
  <si>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</si>
  <si>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</si>
  <si>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</si>
  <si>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</si>
  <si>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</si>
  <si>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</si>
  <si>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</si>
  <si>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</si>
  <si>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</si>
  <si>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</si>
  <si>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</si>
  <si>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</si>
  <si>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</si>
  <si>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</si>
  <si>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</si>
  <si>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</si>
  <si>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</si>
  <si>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</si>
  <si>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</si>
  <si>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</si>
  <si>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</si>
  <si>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</si>
  <si>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</si>
  <si>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</si>
  <si>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</si>
  <si>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</si>
  <si>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</si>
  <si>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</si>
  <si>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</si>
  <si>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</si>
  <si>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</si>
  <si>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</si>
  <si>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</si>
  <si>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</si>
  <si>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</si>
  <si>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</si>
  <si>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</si>
  <si>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</si>
  <si>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</si>
  <si>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</si>
  <si>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</si>
  <si>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</si>
  <si>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</si>
  <si>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</si>
  <si>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</si>
  <si>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</si>
  <si>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</si>
  <si>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</si>
  <si>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</si>
  <si>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</si>
  <si>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</si>
  <si>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</si>
  <si>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</si>
  <si>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</si>
  <si>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</si>
  <si>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</si>
  <si>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</si>
  <si>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</si>
  <si>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</si>
  <si>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</si>
  <si>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</si>
  <si>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</si>
  <si>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</si>
  <si>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</si>
  <si>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</si>
  <si>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</si>
  <si>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</si>
  <si>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</si>
  <si>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</si>
  <si>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</si>
  <si>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</si>
  <si>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</si>
  <si>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</si>
  <si>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</si>
  <si>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</si>
  <si>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</si>
  <si>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</si>
  <si>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</si>
  <si>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</si>
  <si>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</si>
  <si>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</si>
  <si>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</si>
  <si>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</si>
  <si>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</si>
  <si>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</si>
  <si>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</si>
  <si>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</si>
  <si>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</si>
  <si>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</si>
  <si>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</si>
  <si>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</si>
  <si>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</si>
  <si>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</si>
  <si>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</si>
  <si>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</si>
  <si>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</si>
  <si>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</si>
  <si>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</si>
  <si>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</si>
  <si>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</si>
  <si>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</si>
  <si>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</si>
  <si>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</si>
  <si>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</si>
  <si>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</si>
  <si>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</si>
  <si>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</si>
  <si>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</si>
  <si>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</si>
  <si>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</si>
  <si>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</si>
  <si>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</si>
  <si>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</si>
  <si>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</si>
  <si>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</si>
  <si>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</si>
  <si>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</si>
  <si>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</si>
  <si>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</si>
  <si>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</si>
  <si>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</si>
  <si>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</si>
  <si>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</si>
  <si>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</si>
  <si>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</si>
  <si>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</si>
  <si>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</si>
  <si>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</si>
  <si>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</si>
  <si>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</si>
  <si>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</si>
  <si>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</si>
  <si>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</si>
  <si>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</si>
  <si>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</si>
  <si>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</si>
  <si>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</si>
  <si>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</si>
  <si>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</si>
  <si>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</si>
  <si>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</si>
  <si>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</si>
  <si>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</si>
  <si>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</si>
  <si>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</si>
  <si>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</si>
  <si>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</si>
  <si>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</si>
  <si>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</si>
  <si>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</si>
  <si>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</si>
  <si>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</si>
  <si>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</si>
  <si>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</si>
  <si>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</si>
  <si>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</si>
  <si>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</si>
  <si>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</si>
  <si>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</si>
  <si>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</si>
  <si>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</si>
  <si>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</si>
  <si>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</si>
  <si>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</si>
  <si>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</si>
  <si>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</si>
  <si>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</si>
  <si>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</si>
  <si>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</si>
  <si>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</si>
  <si>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</si>
  <si>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</si>
  <si>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</si>
  <si>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</si>
  <si>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</si>
  <si>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</si>
  <si>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</si>
  <si>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</si>
  <si>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</si>
  <si>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</si>
  <si>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</si>
  <si>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</si>
  <si>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</si>
  <si>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</si>
  <si>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</si>
  <si>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</si>
  <si>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</si>
  <si>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</si>
  <si>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</si>
  <si>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</si>
  <si>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</si>
  <si>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</si>
  <si>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</si>
  <si>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</si>
  <si>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</si>
  <si>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</si>
  <si>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</si>
  <si>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</si>
  <si>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</si>
  <si>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</si>
  <si>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</si>
  <si>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</si>
  <si>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</si>
  <si>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</si>
  <si>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</si>
  <si>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</si>
  <si>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</si>
  <si>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</si>
  <si>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</si>
  <si>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</si>
  <si>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</si>
  <si>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</si>
  <si>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</si>
  <si>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</si>
  <si>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</si>
  <si>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</si>
  <si>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</si>
  <si>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</si>
  <si>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</si>
  <si>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</si>
  <si>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</si>
  <si>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</si>
  <si>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</si>
  <si>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</si>
  <si>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</si>
  <si>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</si>
  <si>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</si>
  <si>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</si>
  <si>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</si>
  <si>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</si>
  <si>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</si>
  <si>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</si>
  <si>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</si>
  <si>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</si>
  <si>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</si>
  <si>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</si>
  <si>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</si>
  <si>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</si>
  <si>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</si>
  <si>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</si>
  <si>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</si>
  <si>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</si>
  <si>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</si>
  <si>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</si>
  <si>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</si>
  <si>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</si>
  <si>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</si>
  <si>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</si>
  <si>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</si>
  <si>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</si>
  <si>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</si>
  <si>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</si>
  <si>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</si>
  <si>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</si>
  <si>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</si>
  <si>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</si>
  <si>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</si>
  <si>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</si>
  <si>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</si>
  <si>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</si>
  <si>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</si>
  <si>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</si>
  <si>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</si>
  <si>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</si>
  <si>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</si>
  <si>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</si>
  <si>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</si>
  <si>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</si>
  <si>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</si>
  <si>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</si>
  <si>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</si>
  <si>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</si>
  <si>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</si>
  <si>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</si>
  <si>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</si>
  <si>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</si>
  <si>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</si>
  <si>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</si>
  <si>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</si>
  <si>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</si>
  <si>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</si>
  <si>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</si>
  <si>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</si>
  <si>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</si>
  <si>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</si>
  <si>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</si>
  <si>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</si>
  <si>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</si>
  <si>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</si>
  <si>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</si>
  <si>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</si>
  <si>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</si>
  <si>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</si>
  <si>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</si>
  <si>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</si>
  <si>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</si>
  <si>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</si>
  <si>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</si>
  <si>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</si>
  <si>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</si>
  <si>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</si>
  <si>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</si>
  <si>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</si>
  <si>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</si>
  <si>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</si>
  <si>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</si>
  <si>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</si>
  <si>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</si>
  <si>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</si>
  <si>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</si>
  <si>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</si>
  <si>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</si>
  <si>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</si>
  <si>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</si>
  <si>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</si>
  <si>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</si>
  <si>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</si>
  <si>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</si>
  <si>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</si>
  <si>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</si>
  <si>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</si>
  <si>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</si>
  <si>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</si>
  <si>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</si>
  <si>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</si>
  <si>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</si>
  <si>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</si>
  <si>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</si>
  <si>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</si>
  <si>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</si>
  <si>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</si>
  <si>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</si>
  <si>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</si>
  <si>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</si>
  <si>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</si>
  <si>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</si>
  <si>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</si>
  <si>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</si>
  <si>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</si>
  <si>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</si>
  <si>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</si>
  <si>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</si>
  <si>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</si>
  <si>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</si>
  <si>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</si>
  <si>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</si>
  <si>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</si>
  <si>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</si>
  <si>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</si>
  <si>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</si>
  <si>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</si>
  <si>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</si>
  <si>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</si>
  <si>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</si>
  <si>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</si>
  <si>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</si>
  <si>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</si>
  <si>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</si>
  <si>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</si>
  <si>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</si>
  <si>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</si>
  <si>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</si>
  <si>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</si>
  <si>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</si>
  <si>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</si>
  <si>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</si>
  <si>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</si>
  <si>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</si>
  <si>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</si>
  <si>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</si>
  <si>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</si>
  <si>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</si>
  <si>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</si>
  <si>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</si>
  <si>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</si>
  <si>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</si>
  <si>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</si>
  <si>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</si>
  <si>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</si>
  <si>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</si>
  <si>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</si>
  <si>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</si>
  <si>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</si>
  <si>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</si>
  <si>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</si>
  <si>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</si>
  <si>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</si>
  <si>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</si>
  <si>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</si>
  <si>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</si>
  <si>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</si>
  <si>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</si>
  <si>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</si>
  <si>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</si>
  <si>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</si>
  <si>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</si>
  <si>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</si>
  <si>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</si>
  <si>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</si>
  <si>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</si>
  <si>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</si>
  <si>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</si>
  <si>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</si>
  <si>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</si>
  <si>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</si>
  <si>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</si>
  <si>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</si>
  <si>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</si>
  <si>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</si>
  <si>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</si>
  <si>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</si>
  <si>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</si>
  <si>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</si>
  <si>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</si>
  <si>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</si>
  <si>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</si>
  <si>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</si>
  <si>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</si>
  <si>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</si>
  <si>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</si>
  <si>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</si>
  <si>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</si>
  <si>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</si>
  <si>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</si>
  <si>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</si>
  <si>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</si>
  <si>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</si>
  <si>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</si>
  <si>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</si>
  <si>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</si>
  <si>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</si>
  <si>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</si>
  <si>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</si>
  <si>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</si>
  <si>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</si>
  <si>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</si>
  <si>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</si>
  <si>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</si>
  <si>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</si>
  <si>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</si>
  <si>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</si>
  <si>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</si>
  <si>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</si>
  <si>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</si>
  <si>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</si>
  <si>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</si>
  <si>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</si>
  <si>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</si>
  <si>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</si>
  <si>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</si>
  <si>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</si>
  <si>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</si>
  <si>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</si>
  <si>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</si>
  <si>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</si>
  <si>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</si>
  <si>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</si>
  <si>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</si>
  <si>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</si>
  <si>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</si>
  <si>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</si>
  <si>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</si>
  <si>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</si>
  <si>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</si>
  <si>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</si>
  <si>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</si>
  <si>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</si>
  <si>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</si>
  <si>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</si>
  <si>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</si>
  <si>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</si>
  <si>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</si>
  <si>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</si>
  <si>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</si>
  <si>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</si>
  <si>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</si>
  <si>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</si>
  <si>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</si>
  <si>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</si>
  <si>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</si>
  <si>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</si>
  <si>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</si>
  <si>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</si>
  <si>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</si>
  <si>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</si>
  <si>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</si>
  <si>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</si>
  <si>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</si>
  <si>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</si>
  <si>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</si>
  <si>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</si>
  <si>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</si>
  <si>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</si>
  <si>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</si>
  <si>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</si>
  <si>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</si>
  <si>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</si>
  <si>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</si>
  <si>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</si>
  <si>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</si>
  <si>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</si>
  <si>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</si>
  <si>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</si>
  <si>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</si>
  <si>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</si>
  <si>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</si>
  <si>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</si>
  <si>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</si>
  <si>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</si>
  <si>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</si>
  <si>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</si>
  <si>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</si>
  <si>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</si>
  <si>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</si>
  <si>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</si>
  <si>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</si>
  <si>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</si>
  <si>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</si>
  <si>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</si>
  <si>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</si>
  <si>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</si>
  <si>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</si>
  <si>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</si>
  <si>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</si>
  <si>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</si>
  <si>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</si>
  <si>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</si>
  <si>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</si>
  <si>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</si>
  <si>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</si>
  <si>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</si>
  <si>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</si>
  <si>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</si>
  <si>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</si>
  <si>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</si>
  <si>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</si>
  <si>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</si>
  <si>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</si>
  <si>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</si>
  <si>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</si>
  <si>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</si>
  <si>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</si>
  <si>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</si>
  <si>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</si>
  <si>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</si>
  <si>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</si>
  <si>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</si>
  <si>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</si>
  <si>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</si>
  <si>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</si>
  <si>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</si>
  <si>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</si>
  <si>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</si>
  <si>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</si>
  <si>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</si>
  <si>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</si>
  <si>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</si>
  <si>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</si>
  <si>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</si>
  <si>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</si>
  <si>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</si>
  <si>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</si>
  <si>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</si>
  <si>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</si>
  <si>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</si>
  <si>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</si>
  <si>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</si>
  <si>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</si>
  <si>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</si>
  <si>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</si>
  <si>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</si>
  <si>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</si>
  <si>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</si>
  <si>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</si>
  <si>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</si>
  <si>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</si>
  <si>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</si>
  <si>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</si>
  <si>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</si>
  <si>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</si>
  <si>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</si>
  <si>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</si>
  <si>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</si>
  <si>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</si>
  <si>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</si>
  <si>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</si>
  <si>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</si>
  <si>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</si>
  <si>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</si>
  <si>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</si>
  <si>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</si>
  <si>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</si>
  <si>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</si>
  <si>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</si>
  <si>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</si>
  <si>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</si>
  <si>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</si>
  <si>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</si>
  <si>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</si>
  <si>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</si>
  <si>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</si>
  <si>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</si>
  <si>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</si>
  <si>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</si>
  <si>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</si>
  <si>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</si>
  <si>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</si>
  <si>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</si>
  <si>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</si>
  <si>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</si>
  <si>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</si>
  <si>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</si>
  <si>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</si>
  <si>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</si>
  <si>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</si>
  <si>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</si>
  <si>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</si>
  <si>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</si>
  <si>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</si>
  <si>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</si>
  <si>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</si>
  <si>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</si>
  <si>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</si>
  <si>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</si>
  <si>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</si>
  <si>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</si>
  <si>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</si>
  <si>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</si>
  <si>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</si>
  <si>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</si>
  <si>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</si>
  <si>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</si>
  <si>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</si>
  <si>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</si>
  <si>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</si>
  <si>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</si>
  <si>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</si>
  <si>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</si>
  <si>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</si>
  <si>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</si>
  <si>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</si>
  <si>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</si>
  <si>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</si>
  <si>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</si>
  <si>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</si>
  <si>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</si>
  <si>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</si>
  <si>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</si>
  <si>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</si>
  <si>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</si>
  <si>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</si>
  <si>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</si>
  <si>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</si>
  <si>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</si>
  <si>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</si>
  <si>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</si>
  <si>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</si>
  <si>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</si>
  <si>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</si>
  <si>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</si>
  <si>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</si>
  <si>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</si>
  <si>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</si>
  <si>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</si>
  <si>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</si>
  <si>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</si>
  <si>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</si>
  <si>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</si>
  <si>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</si>
  <si>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</si>
  <si>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</si>
  <si>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</si>
  <si>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</si>
  <si>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</si>
  <si>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</si>
  <si>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</si>
  <si>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</si>
  <si>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</si>
  <si>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</si>
  <si>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</si>
  <si>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</si>
  <si>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</si>
  <si>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</si>
  <si>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</si>
  <si>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</si>
  <si>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</si>
  <si>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</si>
  <si>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</si>
  <si>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</si>
  <si>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</si>
  <si>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</si>
  <si>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</si>
  <si>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</si>
  <si>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</si>
  <si>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</si>
  <si>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</si>
  <si>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</si>
  <si>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</si>
  <si>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</si>
  <si>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</si>
  <si>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</si>
  <si>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</si>
  <si>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</si>
  <si>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</si>
  <si>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</si>
  <si>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</si>
  <si>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</si>
  <si>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</si>
  <si>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</si>
  <si>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</si>
  <si>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</si>
  <si>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</si>
  <si>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</si>
  <si>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</si>
  <si>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</si>
  <si>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</si>
  <si>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</si>
  <si>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</si>
  <si>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</si>
  <si>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</si>
  <si>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</si>
  <si>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</si>
  <si>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</si>
  <si>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</si>
  <si>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</si>
  <si>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</si>
  <si>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</si>
  <si>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</si>
  <si>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</si>
  <si>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</si>
  <si>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</si>
  <si>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</si>
  <si>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</si>
  <si>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</si>
  <si>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</si>
  <si>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</si>
  <si>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</si>
  <si>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</si>
  <si>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</si>
  <si>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</si>
  <si>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</si>
  <si>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</si>
  <si>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</si>
  <si>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</si>
  <si>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</si>
  <si>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</si>
  <si>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</si>
  <si>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</si>
  <si>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</si>
  <si>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</si>
  <si>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</si>
  <si>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</si>
  <si>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</si>
  <si>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</si>
  <si>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</si>
  <si>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</si>
  <si>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</si>
  <si>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</si>
  <si>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</si>
  <si>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</si>
  <si>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</si>
  <si>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</si>
  <si>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</si>
  <si>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</si>
  <si>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</si>
  <si>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</si>
  <si>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</si>
  <si>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</si>
  <si>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</si>
  <si>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</si>
  <si>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</si>
  <si>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</si>
  <si>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</si>
  <si>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</si>
  <si>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</si>
  <si>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</si>
  <si>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</si>
  <si>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</si>
  <si>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</si>
  <si>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</si>
  <si>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</si>
  <si>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</si>
  <si>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</si>
  <si>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</si>
  <si>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</si>
  <si>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</si>
  <si>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</si>
  <si>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</si>
  <si>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</si>
  <si>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</si>
  <si>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</si>
  <si>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</si>
  <si>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</si>
  <si>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</si>
  <si>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</si>
  <si>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</si>
  <si>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</si>
  <si>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</si>
  <si>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</si>
  <si>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</si>
  <si>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</si>
  <si>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</si>
  <si>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</si>
  <si>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</si>
  <si>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</si>
  <si>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</si>
  <si>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</si>
  <si>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</si>
  <si>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</si>
  <si>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</si>
  <si>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</si>
  <si>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</si>
  <si>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</si>
  <si>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</si>
  <si>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</si>
  <si>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</si>
  <si>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</si>
  <si>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</si>
  <si>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</si>
  <si>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</si>
  <si>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</si>
  <si>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</si>
  <si>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</si>
  <si>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</si>
  <si>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</si>
  <si>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</si>
  <si>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</si>
  <si>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</si>
  <si>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</si>
  <si>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</si>
  <si>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</si>
  <si>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</si>
  <si>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</si>
  <si>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</si>
  <si>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</si>
  <si>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</si>
  <si>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</si>
  <si>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</si>
  <si>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</si>
  <si>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</si>
  <si>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</si>
  <si>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</si>
  <si>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</si>
  <si>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</si>
  <si>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</si>
  <si>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</si>
  <si>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</si>
  <si>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</si>
  <si>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</si>
  <si>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</si>
  <si>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</si>
  <si>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</si>
  <si>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</si>
  <si>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</si>
  <si>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</si>
  <si>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</si>
  <si>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</si>
  <si>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</si>
  <si>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</si>
  <si>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</si>
  <si>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</si>
  <si>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</si>
  <si>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</si>
  <si>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</si>
  <si>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</si>
  <si>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</si>
  <si>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</si>
  <si>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</si>
  <si>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</si>
  <si>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</si>
  <si>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</si>
  <si>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</si>
  <si>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</si>
  <si>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</si>
  <si>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</si>
  <si>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</si>
  <si>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</si>
  <si>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</si>
  <si>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</si>
  <si>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</si>
  <si>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</si>
  <si>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</si>
  <si>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</si>
  <si>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</si>
  <si>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</si>
  <si>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</si>
  <si>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</si>
  <si>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</si>
  <si>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</si>
  <si>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</si>
  <si>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</si>
  <si>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</si>
  <si>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</si>
  <si>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</si>
  <si>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</si>
  <si>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</si>
  <si>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</si>
  <si>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</si>
  <si>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</si>
  <si>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</si>
  <si>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</si>
  <si>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</si>
  <si>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</si>
  <si>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</si>
  <si>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</si>
  <si>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</si>
  <si>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</si>
  <si>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</si>
  <si>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</si>
  <si>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</si>
  <si>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</si>
  <si>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</si>
  <si>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</si>
  <si>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</si>
  <si>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</si>
  <si>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</si>
  <si>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</si>
  <si>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</si>
  <si>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</si>
  <si>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</si>
  <si>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</si>
  <si>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</si>
  <si>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</si>
  <si>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</si>
  <si>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</si>
  <si>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</si>
  <si>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</si>
  <si>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</si>
  <si>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</si>
  <si>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</si>
  <si>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</si>
  <si>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</si>
  <si>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</si>
  <si>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</si>
  <si>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</si>
  <si>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</si>
  <si>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</si>
  <si>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</si>
  <si>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</si>
  <si>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</si>
  <si>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</si>
  <si>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</si>
  <si>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</si>
  <si>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</si>
  <si>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</si>
  <si>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</si>
  <si>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</si>
  <si>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</si>
  <si>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</si>
  <si>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</si>
  <si>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</si>
  <si>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</si>
  <si>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</si>
  <si>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</si>
  <si>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</si>
  <si>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</si>
  <si>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</si>
  <si>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</si>
  <si>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</si>
  <si>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</si>
  <si>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</si>
  <si>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</si>
  <si>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</si>
  <si>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</si>
  <si>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</si>
  <si>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</si>
  <si>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</si>
  <si>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</si>
  <si>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</si>
  <si>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</si>
  <si>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</si>
  <si>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</si>
  <si>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</si>
  <si>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</si>
  <si>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</si>
  <si>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</si>
  <si>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</si>
  <si>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</si>
  <si>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</si>
  <si>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</si>
  <si>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</si>
  <si>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</si>
  <si>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</si>
  <si>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</si>
  <si>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</si>
  <si>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</si>
  <si>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</si>
  <si>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</si>
  <si>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</si>
  <si>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</si>
  <si>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</si>
  <si>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</si>
  <si>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</si>
  <si>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</si>
  <si>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</si>
  <si>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</si>
  <si>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</si>
  <si>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</si>
  <si>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</si>
  <si>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</si>
  <si>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</si>
  <si>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</si>
  <si>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</si>
  <si>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</si>
  <si>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</si>
  <si>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</si>
  <si>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</si>
  <si>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</si>
  <si>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</si>
  <si>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</si>
  <si>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</si>
  <si>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</si>
  <si>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</si>
  <si>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</si>
  <si>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</si>
  <si>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</si>
  <si>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</si>
  <si>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</si>
  <si>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</si>
  <si>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</si>
  <si>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</si>
  <si>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</si>
  <si>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</si>
  <si>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</si>
  <si>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</si>
  <si>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</si>
  <si>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</si>
  <si>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</si>
  <si>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</si>
  <si>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</si>
  <si>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</si>
  <si>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</si>
  <si>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</si>
  <si>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</si>
  <si>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</si>
  <si>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</si>
  <si>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</si>
  <si>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</si>
  <si>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</si>
  <si>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</si>
  <si>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</si>
  <si>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</si>
  <si>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</si>
  <si>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</si>
  <si>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</si>
  <si>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</si>
  <si>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</si>
  <si>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</si>
  <si>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</si>
  <si>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</si>
  <si>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</si>
  <si>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</si>
  <si>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</si>
  <si>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</si>
  <si>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</si>
  <si>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</si>
  <si>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</si>
  <si>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</si>
  <si>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</si>
  <si>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</si>
  <si>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</si>
  <si>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</si>
  <si>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</si>
  <si>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</si>
  <si>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</si>
  <si>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</si>
  <si>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</si>
  <si>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</si>
  <si>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</si>
  <si>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</si>
  <si>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</si>
  <si>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</si>
  <si>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</si>
  <si>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</si>
  <si>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</si>
  <si>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</si>
  <si>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</si>
  <si>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</si>
  <si>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</si>
  <si>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</si>
  <si>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</si>
  <si>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</si>
  <si>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</si>
  <si>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</si>
  <si>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</si>
  <si>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</si>
  <si>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</si>
  <si>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</si>
  <si>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</si>
  <si>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</si>
  <si>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</si>
  <si>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</si>
  <si>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</si>
  <si>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</si>
  <si>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</si>
  <si>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</si>
  <si>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</si>
  <si>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</si>
  <si>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</si>
  <si>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</si>
  <si>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</si>
  <si>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</si>
  <si>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</si>
  <si>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</si>
  <si>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</si>
  <si>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</si>
  <si>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</si>
  <si>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</si>
  <si>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</si>
  <si>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</si>
  <si>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</si>
  <si>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</si>
  <si>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</si>
  <si>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</si>
  <si>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</si>
  <si>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</si>
  <si>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</si>
  <si>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</si>
  <si>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</si>
  <si>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</si>
  <si>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</si>
  <si>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</si>
  <si>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</si>
  <si>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</si>
  <si>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</si>
  <si>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</si>
  <si>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</si>
  <si>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</si>
  <si>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</si>
  <si>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</si>
  <si>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</si>
  <si>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</si>
  <si>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</si>
  <si>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</si>
  <si>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</si>
  <si>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</si>
  <si>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</si>
  <si>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</si>
  <si>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</si>
  <si>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</si>
  <si>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</si>
  <si>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</si>
  <si>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</si>
  <si>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</si>
  <si>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</si>
  <si>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</si>
  <si>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</si>
  <si>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</si>
  <si>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</si>
  <si>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</si>
  <si>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</si>
  <si>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</si>
  <si>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</si>
  <si>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</si>
  <si>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</si>
  <si>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</si>
  <si>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</si>
  <si>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</si>
  <si>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</si>
  <si>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</si>
  <si>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</si>
  <si>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</si>
  <si>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</si>
  <si>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</si>
  <si>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</si>
  <si>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</si>
  <si>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</si>
  <si>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</si>
  <si>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</si>
  <si>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</si>
  <si>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</si>
  <si>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</si>
  <si>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</si>
  <si>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</si>
  <si>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</si>
  <si>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</si>
  <si>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</si>
  <si>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</si>
  <si>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</si>
  <si>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</si>
  <si>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</si>
  <si>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</si>
  <si>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</si>
  <si>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</si>
  <si>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</si>
  <si>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</si>
  <si>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</si>
  <si>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</si>
  <si>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</si>
  <si>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</si>
  <si>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</si>
  <si>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</si>
  <si>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</si>
  <si>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</si>
  <si>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</si>
  <si>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</si>
  <si>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</si>
  <si>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</si>
  <si>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</si>
  <si>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</si>
  <si>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</si>
  <si>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</si>
  <si>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</si>
  <si>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</si>
  <si>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</si>
  <si>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</si>
  <si>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</si>
  <si>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</si>
  <si>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</si>
  <si>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</si>
  <si>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</si>
  <si>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</si>
  <si>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</si>
  <si>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</si>
  <si>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</si>
  <si>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</si>
  <si>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</si>
  <si>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</si>
  <si>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</si>
  <si>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</si>
  <si>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</si>
  <si>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</si>
  <si>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</si>
  <si>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</si>
  <si>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</si>
  <si>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</si>
  <si>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</si>
  <si>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</si>
  <si>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</si>
  <si>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</si>
  <si>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</si>
  <si>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</si>
  <si>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</si>
  <si>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</si>
  <si>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</si>
  <si>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</si>
  <si>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</si>
  <si>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</si>
  <si>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</si>
  <si>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</si>
  <si>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</si>
  <si>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</si>
  <si>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</si>
  <si>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</si>
  <si>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</si>
  <si>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</si>
  <si>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</si>
  <si>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</si>
  <si>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</si>
  <si>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</si>
  <si>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</si>
  <si>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</si>
  <si>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</si>
  <si>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</si>
  <si>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</si>
  <si>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</si>
  <si>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</si>
  <si>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</si>
  <si>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</si>
  <si>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</si>
  <si>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</si>
  <si>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</si>
  <si>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</si>
  <si>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</si>
  <si>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</si>
  <si>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</si>
  <si>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</si>
  <si>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</si>
  <si>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</si>
  <si>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</si>
  <si>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</si>
  <si>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</si>
  <si>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</si>
  <si>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</si>
  <si>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</si>
  <si>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</si>
  <si>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</si>
  <si>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</si>
  <si>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</si>
  <si>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</si>
  <si>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</si>
  <si>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</si>
  <si>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</si>
  <si>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</si>
  <si>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</si>
  <si>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</si>
  <si>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</si>
  <si>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</si>
  <si>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</si>
  <si>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</si>
  <si>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</si>
  <si>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</si>
  <si>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</si>
  <si>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</si>
  <si>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</si>
  <si>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</si>
  <si>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</si>
  <si>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</si>
  <si>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</si>
  <si>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</si>
  <si>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</si>
  <si>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</si>
  <si>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</si>
  <si>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</si>
  <si>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</si>
  <si>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</si>
  <si>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</si>
  <si>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</si>
  <si>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</si>
  <si>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</si>
  <si>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</si>
  <si>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</si>
  <si>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</si>
  <si>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</si>
  <si>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</si>
  <si>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</si>
  <si>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</si>
  <si>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</si>
  <si>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</si>
  <si>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</si>
  <si>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</si>
  <si>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</si>
  <si>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</si>
  <si>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</si>
  <si>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</si>
  <si>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</si>
  <si>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</si>
  <si>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</si>
  <si>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</si>
  <si>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</si>
  <si>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</si>
  <si>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</si>
  <si>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</si>
  <si>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</si>
  <si>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</si>
  <si>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</si>
  <si>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</si>
  <si>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</si>
  <si>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</si>
  <si>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</si>
  <si>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</si>
  <si>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</si>
  <si>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</si>
  <si>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</si>
  <si>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</si>
  <si>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</si>
  <si>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</si>
  <si>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</si>
  <si>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</si>
  <si>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</si>
  <si>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</si>
  <si>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</si>
  <si>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</si>
  <si>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</si>
  <si>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</si>
  <si>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</si>
  <si>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</si>
  <si>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</si>
  <si>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</si>
  <si>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</si>
  <si>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</si>
  <si>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</si>
  <si>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</si>
  <si>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</si>
  <si>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</si>
  <si>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</si>
  <si>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</si>
  <si>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</si>
  <si>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</si>
  <si>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</si>
  <si>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</si>
  <si>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</si>
  <si>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</si>
  <si>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</si>
  <si>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</si>
  <si>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</si>
  <si>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</si>
  <si>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</si>
  <si>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</si>
  <si>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</si>
  <si>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</si>
  <si>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</si>
  <si>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</si>
  <si>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</si>
  <si>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</si>
  <si>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</si>
  <si>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</si>
  <si>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</si>
  <si>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</si>
  <si>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</si>
  <si>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</si>
  <si>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</si>
  <si>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</si>
  <si>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</si>
  <si>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</si>
  <si>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</si>
  <si>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</si>
  <si>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</si>
  <si>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</si>
  <si>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</si>
  <si>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</si>
  <si>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</si>
  <si>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</si>
  <si>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</si>
  <si>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</si>
  <si>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</si>
  <si>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</si>
  <si>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</si>
  <si>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</si>
  <si>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</si>
  <si>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</si>
  <si>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</si>
  <si>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</si>
  <si>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</si>
  <si>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</si>
  <si>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</si>
  <si>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</si>
  <si>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</si>
  <si>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</si>
  <si>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</si>
  <si>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</si>
  <si>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</si>
  <si>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</si>
  <si>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</si>
  <si>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</si>
  <si>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</si>
  <si>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</si>
  <si>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</si>
  <si>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</si>
  <si>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</si>
  <si>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</si>
  <si>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</si>
  <si>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</si>
  <si>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</si>
  <si>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</si>
  <si>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</si>
  <si>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</si>
  <si>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</si>
  <si>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</si>
  <si>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</si>
  <si>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</si>
  <si>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</si>
  <si>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</si>
  <si>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</si>
  <si>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</si>
  <si>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</si>
  <si>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</si>
  <si>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</si>
  <si>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</si>
  <si>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</si>
  <si>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</si>
  <si>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</si>
  <si>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</si>
  <si>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</si>
  <si>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</si>
  <si>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</si>
  <si>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</si>
  <si>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</si>
  <si>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</si>
  <si>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</si>
  <si>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</si>
  <si>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</si>
  <si>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</si>
  <si>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</si>
  <si>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</si>
  <si>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</si>
  <si>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</si>
  <si>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</si>
  <si>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</si>
  <si>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</si>
  <si>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</si>
  <si>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</si>
  <si>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</si>
  <si>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</si>
  <si>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</si>
  <si>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</si>
  <si>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</si>
  <si>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</si>
  <si>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</si>
  <si>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</si>
  <si>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</si>
  <si>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</si>
  <si>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</si>
  <si>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</si>
  <si>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</si>
  <si>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</si>
  <si>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</si>
  <si>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</si>
  <si>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</si>
  <si>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</si>
  <si>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</si>
  <si>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</si>
  <si>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</si>
  <si>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</si>
  <si>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</si>
  <si>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</si>
  <si>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</si>
  <si>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</si>
  <si>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</si>
  <si>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</si>
  <si>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</si>
  <si>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</si>
  <si>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</si>
  <si>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</si>
  <si>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</si>
  <si>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</si>
  <si>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</si>
  <si>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</si>
  <si>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</si>
  <si>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</si>
  <si>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</si>
  <si>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</si>
  <si>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</si>
  <si>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</si>
  <si>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</si>
  <si>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</si>
  <si>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</si>
  <si>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</si>
  <si>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</si>
  <si>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</si>
  <si>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</si>
  <si>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</si>
  <si>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</si>
  <si>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</si>
  <si>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</si>
  <si>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</si>
  <si>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</si>
  <si>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</si>
  <si>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</si>
  <si>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</si>
  <si>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</si>
  <si>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</si>
  <si>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</si>
  <si>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</si>
  <si>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</si>
  <si>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</si>
  <si>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</si>
  <si>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</si>
  <si>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</si>
  <si>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</si>
  <si>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</si>
  <si>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</si>
  <si>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</si>
  <si>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</si>
  <si>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</si>
  <si>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</si>
  <si>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</si>
  <si>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</si>
  <si>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</si>
  <si>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</si>
  <si>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</si>
  <si>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</si>
  <si>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</si>
  <si>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</si>
  <si>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</si>
  <si>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</si>
  <si>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</si>
  <si>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</si>
  <si>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</si>
  <si>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</si>
  <si>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</si>
  <si>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</si>
  <si>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</si>
  <si>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</si>
  <si>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</si>
  <si>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</si>
  <si>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</si>
  <si>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</si>
  <si>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</si>
  <si>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</si>
  <si>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</si>
  <si>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</si>
  <si>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</si>
  <si>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</si>
  <si>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</si>
  <si>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</si>
  <si>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</si>
  <si>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</si>
  <si>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</si>
  <si>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</si>
  <si>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</si>
  <si>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</si>
  <si>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</si>
  <si>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</si>
  <si>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</si>
  <si>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</si>
  <si>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</si>
  <si>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</si>
  <si>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</si>
  <si>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</si>
  <si>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</si>
  <si>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</si>
  <si>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</si>
  <si>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</si>
  <si>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</si>
  <si>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</si>
  <si>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</si>
  <si>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</si>
  <si>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</si>
  <si>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</si>
  <si>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</si>
  <si>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</si>
  <si>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</si>
  <si>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</si>
  <si>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</si>
  <si>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</si>
  <si>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</si>
  <si>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</si>
  <si>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</si>
  <si>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</si>
  <si>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</si>
  <si>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</si>
  <si>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</si>
  <si>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</si>
  <si>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</si>
  <si>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</si>
  <si>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</si>
  <si>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</si>
  <si>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</si>
  <si>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</si>
  <si>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</si>
  <si>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</si>
  <si>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</si>
  <si>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</si>
  <si>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</si>
  <si>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</si>
  <si>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</si>
  <si>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</si>
  <si>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</si>
  <si>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</si>
  <si>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</si>
  <si>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</si>
  <si>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</si>
  <si>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</si>
  <si>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</si>
  <si>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</si>
  <si>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</si>
  <si>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</si>
  <si>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</si>
  <si>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</si>
  <si>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</si>
  <si>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</si>
  <si>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</si>
  <si>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</si>
  <si>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</si>
  <si>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</si>
  <si>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</si>
  <si>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</si>
  <si>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</si>
  <si>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</si>
  <si>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</si>
  <si>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</si>
  <si>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</si>
  <si>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</si>
  <si>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</si>
  <si>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</si>
  <si>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</si>
  <si>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</si>
  <si>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</si>
  <si>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</si>
  <si>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</si>
  <si>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</si>
  <si>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</si>
  <si>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</si>
  <si>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</si>
  <si>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</si>
  <si>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</si>
  <si>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</si>
  <si>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</si>
  <si>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</si>
  <si>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</si>
  <si>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</si>
  <si>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</si>
  <si>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</si>
  <si>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</si>
  <si>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</si>
  <si>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</si>
  <si>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</si>
  <si>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</si>
  <si>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</si>
  <si>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</si>
  <si>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</si>
  <si>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</si>
  <si>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</si>
  <si>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</si>
  <si>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</si>
  <si>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</si>
  <si>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</si>
  <si>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</si>
  <si>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</si>
  <si>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</si>
  <si>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</si>
  <si>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</si>
  <si>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</si>
  <si>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</si>
  <si>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</si>
  <si>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</si>
  <si>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</si>
  <si>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</si>
  <si>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</si>
  <si>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</si>
  <si>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</si>
  <si>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</si>
  <si>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</si>
  <si>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</si>
  <si>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</si>
  <si>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</si>
  <si>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</si>
  <si>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</si>
  <si>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</si>
  <si>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</si>
  <si>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</si>
  <si>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</si>
  <si>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</si>
  <si>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</si>
  <si>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</si>
  <si>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</si>
  <si>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</si>
  <si>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</si>
  <si>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</si>
  <si>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</si>
  <si>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</si>
  <si>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</si>
  <si>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</si>
  <si>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</si>
  <si>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</si>
  <si>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</si>
  <si>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</si>
  <si>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</si>
  <si>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</si>
  <si>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</si>
  <si>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</si>
  <si>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</si>
  <si>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</si>
  <si>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</si>
  <si>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</si>
  <si>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</si>
  <si>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</si>
  <si>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</si>
  <si>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</si>
  <si>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</si>
  <si>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</si>
  <si>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</si>
  <si>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</si>
  <si>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</si>
  <si>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</si>
  <si>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</si>
  <si>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</si>
  <si>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</si>
  <si>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</si>
  <si>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</si>
  <si>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</si>
  <si>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</si>
  <si>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</si>
  <si>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</si>
  <si>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</si>
  <si>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</si>
  <si>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</si>
  <si>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</si>
  <si>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</si>
  <si>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</si>
  <si>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</si>
  <si>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</si>
  <si>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</si>
  <si>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</si>
  <si>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</si>
  <si>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</si>
  <si>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</si>
  <si>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</si>
  <si>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</si>
  <si>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</si>
  <si>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</si>
  <si>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</si>
  <si>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</si>
  <si>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</si>
  <si>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</si>
  <si>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</si>
  <si>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</si>
  <si>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</si>
  <si>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</si>
  <si>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</si>
  <si>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</si>
  <si>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</si>
  <si>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</si>
  <si>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</si>
  <si>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</si>
  <si>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</si>
  <si>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</si>
  <si>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</si>
  <si>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</si>
  <si>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</si>
  <si>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</si>
  <si>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</si>
  <si>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</si>
  <si>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</si>
  <si>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</si>
  <si>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</si>
  <si>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</si>
  <si>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</si>
  <si>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</si>
  <si>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</si>
  <si>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</si>
  <si>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</si>
  <si>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</si>
  <si>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</si>
  <si>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</si>
  <si>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</si>
  <si>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</si>
  <si>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</si>
  <si>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</si>
  <si>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</si>
  <si>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</si>
  <si>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</si>
  <si>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</si>
  <si>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</si>
  <si>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</si>
  <si>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</si>
  <si>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</si>
  <si>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</si>
  <si>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</si>
  <si>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</si>
  <si>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</si>
  <si>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</si>
  <si>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</si>
  <si>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</si>
  <si>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</si>
  <si>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</si>
  <si>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</si>
  <si>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</si>
  <si>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</si>
  <si>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</si>
  <si>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</si>
  <si>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</si>
  <si>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</si>
  <si>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</si>
  <si>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</si>
  <si>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</si>
  <si>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</si>
  <si>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</si>
  <si>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</si>
  <si>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</si>
  <si>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</si>
  <si>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</si>
  <si>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</si>
  <si>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</si>
  <si>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</si>
  <si>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</si>
  <si>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</si>
  <si>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</si>
  <si>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</si>
  <si>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</si>
  <si>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</si>
  <si>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</si>
  <si>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</si>
  <si>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</si>
  <si>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</si>
  <si>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</si>
  <si>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</si>
  <si>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</si>
  <si>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</si>
  <si>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</si>
  <si>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</si>
  <si>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</si>
  <si>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</si>
  <si>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</si>
  <si>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</si>
  <si>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</si>
  <si>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</si>
  <si>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</si>
  <si>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</si>
  <si>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</si>
  <si>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</si>
  <si>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</si>
  <si>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</si>
  <si>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</si>
  <si>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</si>
  <si>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</si>
  <si>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</si>
  <si>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</si>
  <si>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</si>
  <si>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</si>
  <si>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</si>
  <si>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</si>
  <si>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</si>
  <si>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</si>
  <si>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</si>
  <si>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</si>
  <si>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</si>
  <si>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</si>
  <si>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</si>
  <si>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</si>
  <si>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</si>
  <si>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</si>
  <si>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</si>
  <si>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</si>
  <si>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</si>
  <si>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</si>
  <si>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</si>
  <si>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</si>
  <si>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</si>
  <si>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</si>
  <si>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</si>
  <si>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</si>
  <si>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</si>
  <si>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</si>
  <si>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</si>
  <si>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</si>
  <si>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</si>
  <si>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</si>
  <si>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</si>
  <si>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</si>
  <si>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</si>
  <si>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</si>
  <si>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</si>
  <si>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</si>
  <si>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</si>
  <si>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</si>
  <si>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</si>
  <si>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</si>
  <si>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</si>
  <si>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</si>
  <si>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</si>
  <si>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</si>
  <si>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</si>
  <si>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</si>
  <si>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</si>
  <si>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</si>
  <si>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</si>
  <si>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</si>
  <si>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</si>
  <si>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</si>
  <si>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</si>
  <si>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</si>
  <si>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</si>
  <si>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</si>
  <si>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</si>
  <si>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</si>
  <si>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</si>
  <si>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</si>
  <si>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</si>
  <si>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</si>
  <si>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</si>
  <si>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</si>
  <si>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</si>
  <si>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</si>
  <si>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</si>
  <si>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</si>
  <si>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</si>
  <si>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</si>
  <si>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</si>
  <si>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</si>
  <si>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</si>
  <si>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</si>
  <si>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</si>
  <si>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</si>
  <si>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</si>
  <si>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</si>
  <si>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</si>
  <si>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</si>
  <si>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</si>
  <si>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</si>
  <si>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</si>
  <si>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</si>
  <si>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</si>
  <si>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</si>
  <si>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</si>
  <si>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</si>
  <si>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</si>
  <si>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</si>
  <si>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</si>
  <si>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</si>
  <si>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</si>
  <si>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</si>
  <si>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</si>
  <si>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</si>
  <si>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</si>
  <si>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</si>
  <si>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</si>
  <si>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</si>
  <si>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</si>
  <si>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</si>
  <si>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</si>
  <si>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</si>
  <si>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</si>
  <si>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</si>
  <si>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</si>
  <si>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</si>
  <si>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</si>
  <si>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</si>
  <si>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</si>
  <si>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</si>
  <si>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</si>
  <si>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</si>
  <si>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</si>
  <si>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</si>
  <si>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</si>
  <si>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</si>
  <si>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</si>
  <si>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</si>
  <si>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</si>
  <si>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</si>
  <si>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</si>
  <si>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</si>
  <si>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</si>
  <si>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</si>
  <si>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</si>
  <si>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</si>
  <si>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</si>
  <si>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</si>
  <si>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</si>
  <si>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</si>
  <si>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</si>
  <si>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</si>
  <si>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</si>
  <si>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</si>
  <si>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</si>
  <si>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</si>
  <si>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</si>
  <si>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</si>
  <si>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</si>
  <si>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</si>
  <si>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</si>
  <si>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</si>
  <si>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</si>
  <si>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</si>
  <si>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</si>
  <si>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</si>
  <si>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</si>
  <si>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</si>
  <si>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</si>
  <si>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</si>
  <si>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</si>
  <si>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</si>
  <si>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</si>
  <si>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</si>
  <si>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</si>
  <si>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</si>
  <si>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</si>
  <si>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</si>
  <si>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</si>
  <si>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</si>
  <si>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</si>
  <si>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</si>
  <si>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</si>
  <si>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</si>
  <si>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</si>
  <si>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</si>
  <si>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</si>
  <si>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</si>
  <si>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</si>
  <si>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</si>
  <si>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</si>
  <si>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</si>
  <si>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</si>
  <si>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</si>
  <si>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</si>
  <si>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</si>
  <si>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</si>
  <si>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</si>
  <si>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</si>
  <si>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</si>
  <si>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</si>
  <si>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</si>
  <si>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</si>
  <si>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</si>
  <si>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</si>
  <si>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</si>
  <si>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</si>
  <si>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</si>
  <si>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</si>
  <si>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</si>
  <si>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</si>
  <si>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</si>
  <si>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</si>
  <si>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</si>
  <si>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</si>
  <si>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</si>
  <si>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</si>
  <si>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</si>
  <si>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</si>
  <si>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</si>
  <si>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</si>
  <si>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</si>
  <si>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</si>
  <si>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</si>
  <si>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</si>
  <si>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</si>
  <si>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</si>
  <si>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</si>
  <si>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</si>
  <si>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</si>
  <si>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</si>
  <si>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</si>
  <si>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</si>
  <si>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</si>
  <si>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</si>
  <si>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</si>
  <si>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</si>
  <si>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</si>
  <si>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</si>
  <si>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</si>
  <si>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</si>
  <si>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</si>
  <si>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</si>
  <si>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</si>
  <si>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</si>
  <si>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</si>
  <si>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</si>
  <si>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</si>
  <si>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</si>
  <si>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</si>
  <si>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</si>
  <si>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</si>
  <si>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</si>
  <si>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</si>
  <si>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</si>
  <si>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</si>
  <si>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</si>
  <si>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</si>
  <si>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</si>
  <si>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</si>
  <si>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</si>
  <si>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</si>
  <si>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</si>
  <si>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</si>
  <si>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</si>
  <si>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</si>
  <si>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</si>
  <si>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</si>
  <si>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</si>
  <si>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</si>
  <si>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</si>
  <si>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</si>
  <si>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</si>
  <si>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</si>
  <si>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</si>
  <si>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</si>
  <si>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</si>
  <si>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</si>
  <si>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</si>
  <si>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</si>
  <si>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</si>
  <si>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</si>
  <si>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</si>
  <si>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</si>
  <si>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</si>
  <si>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</si>
  <si>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</si>
  <si>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</si>
  <si>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</si>
  <si>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</si>
  <si>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</si>
  <si>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</si>
  <si>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</si>
  <si>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</si>
  <si>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</si>
  <si>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</si>
  <si>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</si>
  <si>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</si>
  <si>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</si>
  <si>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</si>
  <si>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</si>
  <si>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</si>
  <si>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</si>
  <si>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</si>
  <si>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</si>
  <si>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</si>
  <si>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</si>
  <si>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</si>
  <si>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</si>
  <si>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</si>
  <si>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</si>
  <si>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</si>
  <si>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</si>
  <si>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</si>
  <si>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</si>
  <si>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</si>
  <si>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</si>
  <si>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</si>
  <si>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</si>
  <si>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</si>
  <si>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</si>
  <si>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</si>
  <si>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</si>
  <si>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</si>
  <si>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</si>
  <si>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</si>
  <si>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</si>
  <si>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</si>
  <si>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</si>
  <si>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</si>
  <si>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</si>
  <si>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</si>
  <si>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</si>
  <si>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</si>
  <si>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</si>
  <si>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</si>
  <si>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</si>
  <si>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</si>
  <si>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</si>
  <si>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</si>
  <si>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</si>
  <si>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</si>
  <si>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</si>
  <si>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</si>
  <si>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</si>
  <si>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</si>
  <si>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</si>
  <si>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</si>
  <si>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</si>
  <si>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</si>
  <si>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</si>
  <si>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</si>
  <si>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</si>
  <si>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</si>
  <si>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</si>
  <si>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</si>
  <si>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</si>
  <si>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</si>
  <si>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</si>
  <si>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</si>
  <si>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</si>
  <si>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</si>
  <si>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</si>
  <si>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</si>
  <si>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</si>
  <si>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</si>
  <si>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</si>
  <si>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</si>
  <si>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</si>
  <si>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</si>
  <si>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</si>
  <si>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</si>
  <si>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</si>
  <si>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</si>
  <si>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</si>
  <si>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</si>
  <si>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</si>
  <si>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</si>
  <si>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</si>
  <si>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</si>
  <si>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</si>
  <si>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</si>
  <si>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</si>
  <si>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</si>
  <si>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</si>
  <si>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</si>
  <si>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</si>
  <si>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</si>
  <si>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</si>
  <si>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</si>
  <si>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</si>
  <si>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</si>
  <si>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</si>
  <si>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</si>
  <si>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</si>
  <si>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</si>
  <si>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</si>
  <si>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</si>
  <si>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</si>
  <si>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</si>
  <si>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</si>
  <si>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</si>
  <si>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</si>
  <si>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</si>
  <si>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</si>
  <si>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</si>
  <si>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</si>
  <si>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</si>
  <si>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</si>
  <si>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</si>
  <si>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</si>
  <si>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</si>
  <si>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</si>
  <si>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</si>
  <si>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</si>
  <si>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</si>
  <si>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</si>
  <si>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</si>
  <si>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</si>
  <si>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</si>
  <si>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</si>
  <si>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</si>
  <si>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</si>
  <si>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</si>
  <si>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</si>
  <si>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</si>
  <si>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</si>
  <si>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</si>
  <si>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</si>
  <si>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</si>
  <si>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</si>
  <si>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</si>
  <si>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</si>
  <si>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</si>
  <si>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</si>
  <si>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</si>
  <si>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</si>
  <si>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</si>
  <si>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</si>
  <si>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</si>
  <si>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</si>
  <si>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</si>
  <si>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</si>
  <si>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</si>
  <si>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</si>
  <si>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</si>
  <si>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</si>
  <si>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</si>
  <si>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</si>
  <si>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</si>
  <si>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</si>
  <si>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</si>
  <si>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</si>
  <si>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</si>
  <si>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</si>
  <si>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</si>
  <si>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</si>
  <si>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</si>
  <si>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</si>
  <si>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</si>
  <si>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</si>
  <si>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</si>
  <si>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</si>
  <si>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</si>
  <si>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</si>
  <si>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</si>
  <si>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</si>
  <si>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</si>
  <si>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</si>
  <si>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</si>
  <si>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</si>
  <si>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</si>
  <si>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</si>
  <si>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</si>
  <si>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</si>
  <si>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</si>
  <si>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</si>
  <si>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</si>
  <si>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</si>
  <si>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</si>
  <si>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</si>
  <si>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</si>
  <si>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</si>
  <si>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</si>
  <si>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</si>
  <si>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</si>
  <si>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</si>
  <si>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</si>
  <si>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</si>
  <si>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</si>
  <si>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</si>
  <si>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</si>
  <si>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</si>
  <si>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</si>
  <si>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</si>
  <si>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</si>
  <si>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</si>
  <si>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</si>
  <si>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</si>
  <si>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</si>
  <si>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</si>
  <si>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</si>
  <si>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</si>
  <si>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</si>
  <si>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</si>
  <si>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</si>
  <si>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</si>
  <si>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</si>
  <si>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</si>
  <si>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</si>
  <si>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</si>
  <si>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</si>
  <si>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</si>
  <si>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</si>
  <si>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</si>
  <si>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</si>
  <si>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</si>
  <si>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</si>
  <si>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</si>
  <si>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</si>
  <si>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</si>
  <si>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</si>
  <si>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</si>
  <si>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</si>
  <si>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</si>
  <si>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</si>
  <si>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</si>
  <si>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</si>
  <si>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</si>
  <si>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</si>
  <si>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</si>
  <si>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</si>
  <si>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</si>
  <si>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</si>
  <si>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</si>
  <si>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</si>
  <si>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</si>
  <si>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</si>
  <si>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</si>
  <si>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</si>
  <si>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</si>
  <si>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</si>
  <si>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</si>
  <si>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</si>
  <si>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</si>
  <si>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</si>
  <si>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</si>
  <si>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</si>
  <si>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</si>
  <si>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</si>
  <si>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</si>
  <si>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</si>
  <si>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</si>
  <si>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</si>
  <si>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</si>
  <si>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</si>
  <si>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</si>
  <si>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</si>
  <si>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</si>
  <si>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</si>
  <si>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</si>
  <si>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</si>
  <si>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</si>
  <si>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</si>
  <si>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</si>
  <si>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</si>
  <si>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</si>
  <si>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</si>
  <si>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</si>
  <si>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</si>
  <si>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</si>
  <si>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</si>
  <si>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</si>
  <si>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</si>
  <si>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</si>
  <si>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</si>
  <si>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</si>
  <si>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</si>
  <si>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</si>
  <si>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</si>
  <si>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</si>
  <si>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</si>
  <si>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</si>
  <si>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</si>
  <si>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</si>
  <si>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</si>
  <si>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</si>
  <si>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</si>
  <si>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</si>
  <si>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</si>
  <si>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</si>
  <si>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</si>
  <si>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</si>
  <si>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</si>
  <si>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</si>
  <si>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</si>
  <si>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</si>
  <si>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</si>
  <si>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</si>
  <si>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</si>
  <si>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</si>
  <si>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</si>
  <si>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</si>
  <si>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</si>
  <si>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</si>
  <si>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</si>
  <si>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</si>
  <si>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</si>
  <si>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</si>
  <si>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</si>
  <si>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</si>
  <si>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</si>
  <si>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</si>
  <si>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</si>
  <si>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</si>
  <si>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</si>
  <si>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</si>
  <si>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</si>
  <si>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</si>
  <si>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</si>
  <si>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</si>
  <si>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</si>
  <si>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</si>
  <si>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</si>
  <si>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</si>
  <si>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</si>
  <si>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</si>
  <si>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</si>
  <si>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</si>
  <si>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</si>
  <si>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</si>
  <si>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</si>
  <si>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</si>
  <si>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</si>
  <si>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</si>
  <si>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</si>
  <si>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</si>
  <si>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</si>
  <si>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</si>
  <si>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</si>
  <si>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</si>
  <si>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</si>
  <si>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</si>
  <si>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</si>
  <si>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</si>
  <si>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</si>
  <si>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</si>
  <si>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</si>
  <si>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</si>
  <si>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</si>
  <si>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</si>
  <si>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</si>
  <si>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</si>
  <si>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</si>
  <si>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</si>
  <si>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</si>
  <si>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</si>
  <si>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</si>
  <si>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</si>
  <si>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</si>
  <si>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</si>
  <si>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</si>
  <si>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</si>
  <si>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</si>
  <si>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</si>
  <si>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</si>
  <si>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</si>
  <si>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</si>
  <si>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</si>
  <si>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</si>
  <si>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</si>
  <si>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</si>
  <si>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</si>
  <si>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</si>
  <si>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</si>
  <si>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</si>
  <si>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</si>
  <si>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</si>
  <si>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</si>
  <si>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</si>
  <si>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</si>
  <si>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</si>
  <si>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</si>
  <si>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</si>
  <si>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</si>
  <si>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</si>
  <si>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</si>
  <si>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</si>
  <si>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</si>
  <si>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</si>
  <si>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</si>
  <si>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</si>
  <si>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</si>
  <si>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</si>
  <si>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</si>
  <si>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</si>
  <si>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</si>
  <si>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</si>
  <si>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</si>
  <si>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</si>
  <si>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</si>
  <si>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</si>
  <si>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</si>
  <si>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</si>
  <si>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</si>
  <si>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</si>
  <si>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</si>
  <si>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</si>
  <si>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</si>
  <si>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</si>
  <si>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</si>
  <si>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</si>
  <si>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</si>
  <si>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</si>
  <si>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</si>
  <si>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</si>
  <si>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</si>
  <si>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</si>
  <si>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</si>
  <si>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</si>
  <si>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</si>
  <si>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</si>
  <si>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</si>
  <si>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</si>
  <si>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</si>
  <si>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</si>
  <si>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</si>
  <si>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</si>
  <si>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</si>
  <si>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</si>
  <si>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</si>
  <si>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</si>
  <si>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</si>
  <si>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</si>
  <si>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</si>
  <si>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</si>
  <si>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</si>
  <si>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</si>
  <si>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</si>
  <si>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</si>
  <si>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</si>
  <si>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</si>
  <si>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</si>
  <si>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</si>
  <si>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</si>
  <si>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</si>
  <si>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</si>
  <si>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</si>
  <si>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</si>
  <si>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</si>
  <si>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</si>
  <si>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</si>
  <si>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</si>
  <si>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</si>
  <si>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</si>
  <si>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</si>
  <si>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</si>
  <si>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</si>
  <si>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</si>
  <si>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</si>
  <si>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</si>
  <si>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</si>
  <si>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</si>
  <si>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</si>
  <si>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</si>
  <si>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</si>
  <si>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</si>
  <si>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</si>
  <si>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</si>
  <si>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</si>
  <si>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</si>
  <si>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</si>
  <si>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</si>
  <si>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</si>
  <si>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</si>
  <si>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</si>
  <si>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</si>
  <si>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</si>
  <si>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</si>
  <si>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</si>
  <si>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</si>
  <si>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</si>
  <si>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</si>
  <si>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</si>
  <si>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</si>
  <si>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</si>
  <si>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</si>
  <si>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</si>
  <si>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</si>
  <si>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</si>
  <si>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</si>
  <si>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</si>
  <si>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</si>
  <si>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</si>
  <si>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</si>
  <si>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</si>
  <si>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</si>
  <si>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</si>
  <si>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</si>
  <si>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</si>
  <si>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</si>
  <si>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</si>
  <si>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</si>
  <si>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</si>
  <si>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</si>
  <si>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</si>
  <si>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</si>
  <si>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</si>
  <si>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</si>
  <si>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</si>
  <si>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</si>
  <si>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</si>
  <si>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</si>
  <si>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</si>
  <si>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</si>
  <si>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</si>
  <si>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</si>
  <si>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</si>
  <si>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</si>
  <si>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</si>
  <si>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</si>
  <si>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</si>
  <si>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</si>
  <si>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</si>
  <si>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</si>
  <si>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</si>
  <si>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</si>
  <si>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</si>
  <si>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</si>
  <si>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</si>
  <si>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</si>
  <si>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</si>
  <si>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</si>
  <si>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</si>
  <si>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</si>
  <si>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</si>
  <si>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</si>
  <si>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</si>
  <si>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</si>
  <si>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</si>
  <si>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</si>
  <si>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</si>
  <si>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</si>
  <si>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</si>
  <si>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</si>
  <si>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</si>
  <si>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</si>
  <si>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</si>
  <si>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</si>
  <si>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</si>
  <si>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</si>
  <si>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</si>
  <si>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</si>
  <si>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</si>
  <si>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</si>
  <si>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</si>
  <si>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</si>
  <si>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</si>
  <si>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</si>
  <si>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</si>
  <si>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</si>
  <si>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</si>
  <si>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</si>
  <si>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</si>
  <si>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</si>
  <si>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</si>
  <si>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</si>
  <si>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</si>
  <si>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</si>
  <si>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</si>
  <si>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</si>
  <si>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</si>
  <si>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</si>
  <si>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</si>
  <si>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</si>
  <si>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</si>
  <si>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</si>
  <si>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</si>
  <si>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</si>
  <si>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</si>
  <si>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</si>
  <si>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</si>
  <si>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</si>
  <si>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</si>
  <si>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</si>
  <si>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</si>
  <si>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</si>
  <si>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</si>
  <si>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</si>
  <si>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</si>
  <si>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</si>
  <si>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</si>
  <si>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</si>
  <si>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</si>
  <si>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</si>
  <si>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</si>
  <si>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</si>
  <si>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</si>
  <si>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</si>
  <si>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</si>
  <si>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</si>
  <si>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</si>
  <si>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</si>
  <si>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</si>
  <si>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</si>
  <si>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</si>
  <si>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</si>
  <si>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</si>
  <si>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</si>
  <si>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</si>
  <si>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</si>
  <si>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</si>
  <si>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</si>
  <si>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</si>
  <si>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</si>
  <si>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</si>
  <si>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</si>
  <si>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</si>
  <si>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</si>
  <si>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</si>
  <si>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</si>
  <si>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</si>
  <si>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</si>
  <si>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</si>
  <si>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</si>
  <si>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</si>
  <si>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</si>
  <si>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</si>
  <si>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</si>
  <si>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</si>
  <si>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</si>
  <si>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</si>
  <si>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</si>
  <si>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</si>
  <si>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</si>
  <si>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</si>
  <si>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</si>
  <si>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</si>
  <si>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</si>
  <si>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</si>
  <si>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</si>
  <si>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</si>
  <si>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</si>
  <si>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</si>
  <si>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</si>
  <si>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</si>
  <si>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</si>
  <si>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</si>
  <si>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</si>
  <si>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</si>
  <si>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</si>
  <si>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</si>
  <si>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</si>
  <si>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</si>
  <si>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</si>
  <si>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</si>
  <si>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</si>
  <si>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</si>
  <si>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</si>
  <si>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</si>
  <si>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</si>
  <si>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</si>
  <si>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</si>
  <si>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</si>
  <si>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</si>
  <si>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</si>
  <si>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</si>
  <si>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</si>
  <si>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</si>
  <si>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</si>
  <si>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</si>
  <si>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</si>
  <si>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</si>
  <si>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</si>
  <si>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</si>
  <si>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</si>
  <si>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</si>
  <si>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</si>
  <si>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</si>
  <si>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</si>
  <si>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</si>
  <si>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</si>
  <si>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</si>
  <si>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</si>
  <si>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</si>
  <si>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</si>
  <si>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</si>
  <si>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</si>
  <si>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</si>
  <si>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</si>
  <si>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</si>
  <si>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</si>
  <si>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</si>
  <si>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</si>
  <si>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</si>
  <si>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</si>
  <si>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</si>
  <si>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</si>
  <si>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</si>
  <si>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</si>
  <si>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</si>
  <si>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</si>
  <si>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</si>
  <si>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</si>
  <si>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</si>
  <si>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</si>
  <si>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</si>
  <si>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</si>
  <si>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</si>
  <si>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</si>
  <si>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</si>
  <si>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</si>
  <si>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</si>
  <si>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</si>
  <si>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</si>
  <si>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</si>
  <si>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</si>
  <si>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</si>
  <si>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</si>
  <si>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</si>
  <si>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</si>
  <si>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</si>
  <si>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</si>
  <si>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</si>
  <si>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</si>
  <si>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</si>
  <si>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</si>
  <si>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</si>
  <si>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</si>
  <si>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</si>
  <si>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</si>
  <si>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</si>
  <si>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</si>
  <si>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</si>
  <si>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</si>
  <si>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</si>
  <si>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</si>
  <si>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</si>
  <si>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</si>
  <si>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</si>
  <si>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</si>
  <si>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</si>
  <si>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</si>
  <si>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</si>
  <si>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</si>
  <si>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</si>
  <si>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</si>
  <si>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</si>
  <si>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</si>
  <si>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</si>
  <si>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</si>
  <si>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</si>
  <si>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</si>
  <si>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</si>
  <si>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</si>
  <si>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</si>
  <si>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</si>
  <si>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</si>
  <si>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</si>
  <si>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</si>
  <si>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</si>
  <si>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</si>
  <si>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</si>
  <si>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</si>
  <si>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</si>
  <si>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</si>
  <si>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</si>
  <si>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</si>
  <si>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</si>
  <si>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</si>
  <si>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</si>
  <si>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</si>
  <si>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</si>
  <si>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</si>
  <si>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</si>
  <si>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</si>
  <si>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</si>
  <si>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</si>
  <si>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</si>
  <si>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</si>
  <si>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</si>
  <si>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</si>
  <si>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</si>
  <si>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</si>
  <si>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</si>
  <si>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</si>
  <si>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</si>
  <si>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</si>
  <si>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</si>
  <si>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</si>
  <si>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</si>
  <si>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</si>
  <si>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</si>
  <si>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</si>
  <si>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</si>
  <si>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</si>
  <si>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</si>
  <si>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</si>
  <si>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</si>
  <si>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</si>
  <si>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</si>
  <si>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</si>
  <si>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</si>
  <si>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</si>
  <si>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</si>
  <si>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</si>
  <si>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</si>
  <si>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</si>
  <si>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</si>
  <si>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</si>
  <si>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</si>
  <si>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</si>
  <si>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</si>
  <si>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</si>
  <si>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</si>
  <si>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</si>
  <si>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</si>
  <si>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</si>
  <si>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</si>
  <si>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</si>
  <si>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</si>
  <si>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</si>
  <si>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</si>
  <si>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</si>
  <si>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</si>
  <si>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</si>
  <si>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</si>
  <si>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</si>
  <si>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</si>
  <si>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</si>
  <si>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</si>
  <si>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</si>
  <si>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</si>
  <si>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</si>
  <si>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</si>
  <si>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</si>
  <si>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</si>
  <si>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</si>
  <si>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</si>
  <si>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</si>
  <si>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</si>
  <si>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</si>
  <si>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</si>
  <si>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</si>
  <si>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</si>
  <si>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</si>
  <si>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</si>
  <si>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</si>
  <si>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</si>
  <si>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</si>
  <si>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</si>
  <si>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</si>
  <si>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</si>
  <si>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</si>
  <si>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</si>
  <si>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</si>
  <si>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</si>
  <si>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</si>
  <si>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</si>
  <si>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</si>
  <si>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</si>
  <si>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</si>
  <si>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</si>
  <si>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</si>
  <si>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</si>
  <si>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</si>
  <si>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</si>
  <si>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</si>
  <si>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</si>
  <si>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</si>
  <si>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</si>
  <si>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</si>
  <si>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</si>
  <si>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</si>
  <si>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</si>
  <si>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</si>
  <si>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</si>
  <si>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</si>
  <si>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</si>
  <si>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</si>
  <si>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</si>
  <si>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</si>
  <si>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</si>
  <si>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</si>
  <si>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</si>
  <si>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</si>
  <si>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</si>
  <si>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</si>
  <si>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</si>
  <si>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</si>
  <si>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</si>
  <si>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</si>
  <si>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</si>
  <si>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</si>
  <si>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</si>
  <si>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</si>
  <si>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</si>
  <si>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</si>
  <si>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</si>
  <si>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</si>
  <si>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</si>
  <si>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</si>
  <si>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</si>
  <si>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</si>
  <si>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</si>
  <si>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</si>
  <si>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</si>
  <si>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</si>
  <si>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</si>
  <si>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</si>
  <si>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</si>
  <si>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</si>
  <si>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</si>
  <si>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</si>
  <si>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</si>
  <si>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</si>
  <si>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</si>
  <si>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</si>
  <si>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</si>
  <si>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</si>
  <si>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</si>
  <si>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</si>
  <si>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</si>
  <si>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</si>
  <si>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</si>
  <si>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</si>
  <si>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</si>
  <si>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</si>
  <si>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</si>
  <si>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</si>
  <si>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</si>
  <si>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</si>
  <si>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</si>
  <si>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</si>
  <si>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</si>
  <si>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</si>
  <si>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</si>
  <si>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</si>
  <si>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</si>
  <si>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</si>
  <si>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</si>
  <si>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</si>
  <si>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</si>
  <si>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</si>
  <si>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</si>
  <si>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</si>
  <si>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</si>
  <si>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</si>
  <si>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</si>
  <si>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</si>
  <si>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</si>
  <si>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</si>
  <si>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</si>
  <si>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</si>
  <si>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</si>
  <si>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</si>
  <si>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</si>
  <si>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</si>
  <si>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</si>
  <si>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</si>
  <si>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</si>
  <si>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</si>
  <si>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</si>
  <si>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</si>
  <si>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</si>
  <si>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</si>
  <si>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</si>
  <si>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</si>
  <si>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</si>
  <si>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</si>
  <si>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</si>
  <si>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</si>
  <si>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</si>
  <si>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</si>
  <si>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</si>
  <si>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</si>
  <si>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</si>
  <si>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</si>
  <si>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</si>
  <si>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</si>
  <si>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</si>
  <si>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</si>
  <si>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</si>
  <si>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</si>
  <si>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</si>
  <si>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</si>
  <si>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</si>
  <si>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</si>
  <si>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</si>
  <si>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</si>
  <si>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</si>
  <si>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</si>
  <si>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</si>
  <si>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</si>
  <si>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</si>
  <si>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</si>
  <si>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</si>
  <si>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</si>
  <si>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</si>
  <si>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</si>
  <si>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</si>
  <si>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</si>
  <si>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</si>
  <si>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</si>
  <si>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</si>
  <si>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</si>
  <si>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</si>
  <si>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</si>
  <si>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</si>
  <si>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</si>
  <si>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</si>
  <si>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</si>
  <si>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</si>
  <si>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</si>
  <si>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</si>
  <si>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</si>
  <si>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</si>
  <si>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</si>
  <si>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</si>
  <si>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</si>
  <si>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</si>
  <si>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</si>
  <si>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</si>
  <si>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</si>
  <si>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</si>
  <si>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</si>
  <si>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</si>
  <si>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</si>
  <si>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</si>
  <si>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</si>
  <si>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</si>
  <si>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</si>
  <si>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</si>
  <si>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</si>
  <si>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</si>
  <si>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</si>
  <si>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</si>
  <si>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</si>
  <si>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</si>
  <si>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</si>
  <si>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</si>
  <si>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</si>
  <si>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</si>
  <si>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</si>
  <si>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</si>
  <si>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</si>
  <si>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</si>
  <si>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</si>
  <si>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</si>
  <si>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</si>
  <si>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</si>
  <si>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</si>
  <si>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</si>
  <si>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</si>
  <si>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</si>
  <si>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</si>
  <si>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</si>
  <si>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</si>
  <si>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</si>
  <si>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</si>
  <si>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</si>
  <si>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</si>
  <si>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</si>
  <si>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</si>
  <si>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</si>
  <si>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</si>
  <si>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</si>
  <si>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</si>
  <si>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</si>
  <si>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</si>
  <si>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</si>
  <si>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</si>
  <si>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</si>
  <si>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</si>
  <si>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</si>
  <si>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</si>
  <si>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</si>
  <si>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</si>
  <si>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</si>
  <si>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</si>
  <si>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</si>
  <si>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</si>
  <si>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</si>
  <si>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</si>
  <si>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</si>
  <si>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</si>
  <si>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</si>
  <si>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</si>
  <si>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</si>
  <si>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</si>
  <si>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</si>
  <si>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</si>
  <si>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</si>
  <si>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</si>
  <si>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</si>
  <si>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</si>
  <si>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</si>
  <si>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</si>
  <si>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</si>
  <si>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</si>
  <si>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</si>
  <si>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</si>
  <si>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</si>
  <si>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</si>
  <si>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</si>
  <si>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</si>
  <si>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</si>
  <si>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</si>
  <si>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</si>
  <si>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</si>
  <si>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</si>
  <si>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</si>
  <si>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</si>
  <si>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</si>
  <si>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</si>
  <si>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</si>
  <si>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</si>
  <si>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</si>
  <si>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</si>
  <si>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</si>
  <si>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</si>
  <si>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</si>
  <si>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</si>
  <si>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</si>
  <si>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</si>
  <si>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</si>
  <si>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</si>
  <si>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</si>
  <si>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</si>
  <si>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</si>
  <si>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</si>
  <si>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</si>
  <si>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</si>
  <si>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</si>
  <si>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</si>
  <si>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</si>
  <si>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</si>
  <si>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</si>
  <si>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</si>
  <si>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</si>
  <si>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</si>
  <si>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</si>
  <si>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</si>
  <si>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</si>
  <si>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</si>
  <si>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</si>
  <si>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</si>
  <si>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</si>
  <si>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</si>
  <si>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</si>
  <si>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</si>
  <si>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</si>
  <si>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</si>
  <si>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</si>
  <si>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</si>
  <si>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</si>
  <si>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</si>
  <si>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</si>
  <si>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</si>
  <si>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</si>
  <si>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</si>
  <si>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</si>
  <si>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</si>
  <si>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</si>
  <si>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</si>
  <si>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</si>
  <si>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</si>
  <si>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</si>
  <si>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</si>
  <si>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</si>
  <si>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</si>
  <si>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</si>
  <si>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</si>
  <si>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</si>
  <si>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</si>
  <si>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</si>
  <si>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</si>
  <si>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</si>
  <si>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</si>
  <si>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</si>
  <si>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</si>
  <si>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</si>
  <si>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</si>
  <si>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</si>
  <si>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</si>
  <si>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</si>
  <si>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</si>
  <si>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</si>
  <si>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</si>
  <si>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</si>
  <si>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</si>
  <si>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</si>
  <si>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</si>
  <si>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</si>
  <si>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</si>
  <si>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</si>
  <si>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</si>
  <si>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</si>
  <si>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</si>
  <si>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</si>
  <si>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</si>
  <si>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</si>
  <si>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</si>
  <si>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</si>
  <si>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</si>
  <si>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</si>
  <si>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</si>
  <si>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</si>
  <si>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</si>
  <si>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</si>
  <si>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</si>
  <si>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</si>
  <si>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</si>
  <si>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</si>
  <si>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</si>
  <si>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</si>
  <si>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</si>
  <si>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</si>
  <si>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</si>
  <si>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</si>
  <si>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</si>
  <si>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</si>
  <si>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</si>
  <si>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</si>
  <si>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</si>
  <si>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</si>
  <si>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</si>
  <si>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</si>
  <si>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</si>
  <si>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</si>
  <si>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</si>
  <si>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</si>
  <si>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</si>
  <si>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</si>
  <si>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</si>
  <si>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</si>
  <si>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</si>
  <si>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</si>
  <si>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</si>
  <si>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</si>
  <si>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</si>
  <si>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</si>
  <si>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</si>
  <si>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</si>
  <si>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</si>
  <si>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</si>
  <si>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</si>
  <si>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</si>
  <si>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</si>
  <si>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</si>
  <si>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</si>
  <si>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</si>
  <si>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</si>
  <si>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</si>
  <si>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</si>
  <si>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</si>
  <si>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</si>
  <si>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</si>
  <si>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</si>
  <si>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</si>
  <si>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</si>
  <si>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</si>
  <si>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</si>
  <si>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</si>
  <si>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</si>
  <si>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</si>
  <si>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</si>
  <si>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</si>
  <si>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</si>
  <si>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</si>
  <si>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</si>
  <si>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</si>
  <si>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</si>
  <si>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</si>
  <si>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</si>
  <si>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</si>
  <si>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</si>
  <si>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</si>
  <si>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</si>
  <si>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</si>
  <si>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</si>
  <si>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</si>
  <si>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</si>
  <si>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</si>
  <si>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</si>
  <si>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</si>
  <si>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</si>
  <si>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</si>
  <si>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</si>
  <si>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</si>
  <si>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</si>
  <si>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</si>
  <si>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</si>
  <si>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</si>
  <si>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</si>
  <si>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</si>
  <si>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</si>
  <si>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</si>
  <si>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</si>
  <si>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</si>
  <si>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</si>
  <si>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</si>
  <si>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</si>
  <si>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</si>
  <si>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</si>
  <si>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</si>
  <si>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</si>
  <si>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</si>
  <si>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</si>
  <si>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</si>
  <si>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</si>
  <si>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</si>
  <si>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</si>
  <si>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</si>
  <si>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</si>
  <si>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</si>
  <si>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</si>
  <si>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</si>
  <si>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</si>
  <si>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</si>
  <si>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</si>
  <si>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</si>
  <si>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</si>
  <si>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</si>
  <si>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</si>
  <si>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</si>
  <si>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</si>
  <si>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</si>
  <si>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</si>
  <si>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</si>
  <si>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</si>
  <si>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</si>
  <si>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</si>
  <si>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</si>
  <si>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</si>
  <si>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</si>
  <si>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</si>
  <si>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</si>
  <si>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</si>
  <si>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</si>
  <si>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</si>
  <si>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</si>
  <si>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</si>
  <si>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</si>
  <si>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</si>
  <si>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</si>
  <si>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</si>
  <si>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</si>
  <si>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</si>
  <si>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</si>
  <si>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</si>
  <si>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</si>
  <si>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</si>
  <si>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</si>
  <si>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</si>
  <si>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</si>
  <si>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</si>
  <si>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</si>
  <si>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</si>
  <si>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</si>
  <si>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</si>
  <si>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</si>
  <si>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</si>
  <si>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</si>
  <si>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</si>
  <si>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</si>
  <si>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</si>
  <si>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</si>
  <si>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</si>
  <si>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</si>
  <si>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</si>
  <si>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</si>
  <si>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</si>
  <si>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</si>
  <si>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</si>
  <si>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</si>
  <si>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</si>
  <si>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</si>
  <si>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</si>
  <si>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</si>
  <si>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</si>
  <si>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</si>
  <si>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</si>
  <si>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</si>
  <si>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</si>
  <si>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</si>
  <si>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</si>
  <si>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</si>
  <si>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</si>
  <si>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</si>
  <si>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</si>
  <si>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</si>
  <si>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</si>
  <si>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</si>
  <si>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</si>
  <si>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</si>
  <si>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</si>
  <si>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</si>
  <si>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</si>
  <si>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</si>
  <si>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</si>
  <si>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</si>
  <si>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</si>
  <si>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</si>
  <si>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</si>
  <si>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</si>
  <si>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</si>
  <si>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</si>
  <si>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</si>
  <si>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</si>
  <si>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</si>
  <si>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</si>
  <si>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</si>
  <si>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</si>
  <si>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</si>
  <si>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</si>
  <si>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</si>
  <si>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</si>
  <si>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</si>
  <si>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</si>
  <si>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</si>
  <si>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</si>
  <si>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</si>
  <si>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</si>
  <si>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</si>
  <si>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</si>
  <si>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</si>
  <si>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</si>
  <si>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</si>
  <si>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</si>
  <si>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</si>
  <si>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</si>
  <si>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</si>
  <si>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</si>
  <si>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</si>
  <si>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</si>
  <si>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</si>
  <si>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</si>
  <si>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</si>
  <si>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</si>
  <si>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</si>
  <si>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</si>
  <si>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</si>
  <si>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</si>
  <si>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</si>
  <si>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</si>
  <si>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</si>
  <si>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</si>
  <si>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</si>
  <si>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</si>
  <si>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</si>
  <si>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</si>
  <si>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</si>
  <si>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</si>
  <si>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</si>
  <si>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</si>
  <si>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</si>
  <si>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</si>
  <si>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</si>
  <si>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</si>
  <si>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</si>
  <si>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</si>
  <si>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</si>
  <si>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</si>
  <si>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</si>
  <si>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</si>
  <si>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</si>
  <si>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</si>
  <si>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</si>
  <si>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</si>
  <si>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</si>
  <si>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</si>
  <si>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</si>
  <si>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</si>
  <si>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</si>
  <si>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</si>
  <si>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</si>
  <si>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</si>
  <si>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</si>
  <si>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</si>
  <si>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</si>
  <si>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</si>
  <si>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</si>
  <si>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</si>
  <si>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</si>
  <si>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</si>
  <si>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</si>
  <si>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</si>
  <si>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</si>
  <si>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</si>
  <si>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</si>
  <si>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</si>
  <si>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</si>
  <si>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</si>
  <si>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</si>
  <si>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</si>
  <si>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</si>
  <si>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</si>
  <si>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</si>
  <si>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</si>
  <si>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</si>
  <si>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</si>
  <si>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</si>
  <si>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</si>
  <si>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</si>
  <si>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</si>
  <si>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</si>
  <si>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</si>
  <si>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</si>
  <si>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</si>
  <si>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</si>
  <si>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</si>
  <si>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</si>
  <si>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</si>
  <si>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</si>
  <si>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</si>
  <si>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</si>
  <si>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</si>
  <si>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</si>
  <si>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</si>
  <si>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</si>
  <si>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</si>
  <si>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</si>
  <si>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</si>
  <si>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</si>
  <si>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</si>
  <si>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</si>
  <si>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</si>
  <si>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</si>
  <si>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</si>
  <si>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</si>
  <si>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</si>
  <si>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</si>
  <si>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</si>
  <si>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</si>
  <si>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</si>
  <si>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</si>
  <si>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</si>
  <si>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</si>
  <si>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</si>
  <si>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</si>
  <si>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</si>
  <si>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</si>
  <si>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</si>
  <si>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</si>
  <si>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</si>
  <si>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</si>
  <si>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</si>
  <si>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</si>
  <si>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</si>
  <si>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</si>
  <si>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</si>
  <si>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</si>
  <si>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</si>
  <si>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</si>
  <si>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</si>
  <si>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</si>
  <si>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</si>
  <si>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</si>
  <si>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</si>
  <si>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</si>
  <si>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</si>
  <si>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</si>
  <si>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</si>
  <si>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</si>
  <si>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</si>
  <si>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</si>
  <si>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</si>
  <si>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</si>
  <si>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</si>
  <si>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</si>
  <si>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</si>
  <si>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</si>
  <si>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</si>
  <si>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</si>
  <si>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</si>
  <si>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</si>
  <si>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</si>
  <si>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</si>
  <si>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</si>
  <si>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</si>
  <si>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</si>
  <si>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</si>
  <si>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</si>
  <si>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</si>
  <si>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</si>
  <si>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</si>
  <si>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</si>
  <si>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</si>
  <si>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</si>
  <si>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</si>
  <si>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</si>
  <si>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</si>
  <si>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</si>
  <si>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</si>
  <si>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</si>
  <si>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</si>
  <si>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</si>
  <si>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</si>
  <si>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</si>
  <si>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</si>
  <si>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</si>
  <si>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</si>
  <si>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</si>
  <si>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</si>
  <si>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</si>
  <si>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</si>
  <si>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</si>
  <si>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</si>
  <si>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</si>
  <si>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</si>
  <si>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</si>
  <si>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</si>
  <si>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</si>
  <si>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</si>
  <si>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</si>
  <si>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</si>
  <si>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</si>
  <si>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</si>
  <si>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</si>
  <si>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</si>
  <si>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</si>
  <si>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</si>
  <si>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</si>
  <si>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</si>
  <si>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</si>
  <si>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</si>
  <si>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</si>
  <si>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</si>
  <si>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</si>
  <si>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</si>
  <si>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</si>
  <si>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</si>
  <si>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</si>
  <si>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</si>
  <si>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</si>
  <si>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</si>
  <si>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</si>
  <si>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</si>
  <si>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</si>
  <si>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</si>
  <si>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</si>
  <si>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</si>
  <si>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</si>
  <si>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</si>
  <si>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</si>
  <si>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</si>
  <si>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</si>
  <si>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</si>
  <si>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</si>
  <si>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</si>
  <si>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</si>
  <si>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</si>
  <si>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</si>
  <si>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</si>
  <si>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</si>
  <si>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</si>
  <si>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</si>
  <si>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</si>
  <si>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</si>
  <si>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</si>
  <si>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</si>
  <si>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</si>
  <si>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</si>
  <si>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</si>
  <si>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</si>
  <si>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</si>
  <si>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</si>
  <si>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</si>
  <si>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</si>
  <si>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</si>
  <si>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</si>
  <si>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</si>
  <si>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</si>
  <si>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</si>
  <si>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</si>
  <si>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</si>
  <si>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</si>
  <si>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</si>
  <si>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</si>
  <si>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</si>
  <si>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</si>
  <si>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</si>
  <si>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</si>
  <si>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</si>
  <si>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</si>
  <si>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</si>
  <si>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</si>
  <si>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</si>
  <si>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</si>
  <si>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</si>
  <si>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</si>
  <si>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</si>
  <si>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</si>
  <si>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</si>
  <si>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</si>
  <si>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</si>
  <si>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</si>
  <si>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</si>
  <si>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</si>
  <si>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</si>
  <si>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</si>
  <si>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</si>
  <si>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</si>
  <si>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</si>
  <si>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</si>
  <si>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</si>
  <si>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</si>
  <si>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</si>
  <si>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</si>
  <si>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</si>
  <si>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</si>
  <si>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</si>
  <si>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</si>
  <si>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</si>
  <si>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</si>
  <si>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</si>
  <si>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</si>
  <si>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</si>
  <si>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</si>
  <si>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</si>
  <si>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</si>
  <si>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</si>
  <si>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</si>
  <si>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</si>
  <si>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</si>
  <si>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</si>
  <si>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</si>
  <si>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</si>
  <si>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</si>
  <si>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</si>
  <si>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</si>
  <si>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</si>
  <si>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</si>
  <si>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</si>
  <si>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</si>
  <si>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</si>
  <si>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</si>
  <si>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</si>
  <si>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</si>
  <si>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</si>
  <si>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</si>
  <si>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</si>
  <si>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</si>
  <si>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</si>
  <si>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</si>
  <si>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</si>
  <si>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</si>
  <si>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</si>
  <si>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</si>
  <si>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</si>
  <si>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</si>
  <si>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</si>
  <si>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</si>
  <si>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</si>
  <si>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</si>
  <si>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</si>
  <si>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</si>
  <si>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</si>
  <si>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</si>
  <si>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</si>
  <si>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</si>
  <si>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</si>
  <si>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</si>
  <si>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</si>
  <si>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</si>
  <si>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</si>
  <si>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</si>
  <si>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</si>
  <si>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</si>
  <si>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</si>
  <si>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</si>
  <si>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</si>
  <si>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</si>
  <si>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</si>
  <si>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</si>
  <si>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</si>
  <si>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</si>
  <si>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</si>
  <si>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</si>
  <si>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</si>
  <si>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</si>
  <si>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</si>
  <si>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</si>
  <si>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</si>
  <si>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</si>
  <si>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</si>
  <si>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</si>
  <si>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</si>
  <si>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</si>
  <si>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</si>
  <si>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</si>
  <si>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</si>
  <si>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</si>
  <si>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</si>
  <si>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</si>
  <si>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</si>
  <si>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</si>
  <si>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</si>
  <si>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</si>
  <si>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</si>
  <si>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</si>
  <si>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</si>
  <si>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</si>
  <si>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</si>
  <si>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</si>
  <si>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</si>
  <si>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</si>
  <si>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</si>
  <si>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</si>
  <si>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</si>
  <si>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</si>
  <si>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</si>
  <si>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</si>
  <si>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</si>
  <si>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</si>
  <si>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</si>
  <si>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</si>
  <si>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</si>
  <si>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</si>
  <si>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</si>
  <si>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</si>
  <si>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</si>
  <si>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</si>
  <si>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</si>
  <si>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</si>
  <si>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</si>
  <si>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</si>
  <si>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</si>
  <si>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</si>
  <si>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</si>
  <si>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</si>
  <si>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</si>
  <si>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</si>
  <si>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</si>
  <si>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</si>
  <si>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</si>
  <si>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</si>
  <si>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</si>
  <si>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</si>
  <si>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</si>
  <si>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</si>
  <si>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</si>
  <si>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</si>
  <si>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</si>
  <si>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</si>
  <si>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</si>
  <si>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</si>
  <si>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</si>
  <si>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</si>
  <si>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</si>
  <si>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</si>
  <si>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</si>
  <si>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</si>
  <si>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</si>
  <si>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</si>
  <si>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</si>
  <si>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</si>
  <si>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</si>
  <si>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</si>
  <si>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</si>
  <si>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</si>
  <si>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</si>
  <si>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</si>
  <si>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</si>
  <si>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</si>
  <si>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</si>
  <si>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</si>
  <si>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</si>
  <si>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</si>
  <si>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</si>
  <si>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</si>
  <si>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</si>
  <si>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</si>
  <si>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</si>
  <si>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</si>
  <si>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</si>
  <si>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</si>
  <si>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</si>
  <si>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</si>
  <si>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</si>
  <si>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</si>
  <si>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</si>
  <si>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</si>
  <si>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</si>
  <si>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</si>
  <si>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</si>
  <si>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</si>
  <si>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</si>
  <si>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</si>
  <si>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</si>
  <si>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</si>
  <si>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</si>
  <si>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</si>
  <si>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</si>
  <si>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</si>
  <si>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</si>
  <si>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</si>
  <si>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</si>
  <si>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</si>
  <si>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</si>
  <si>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</si>
  <si>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</si>
  <si>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</si>
  <si>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</si>
  <si>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</si>
  <si>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</si>
  <si>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</si>
  <si>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</si>
  <si>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</si>
  <si>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</si>
  <si>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</si>
  <si>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</si>
  <si>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</si>
  <si>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</si>
  <si>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</si>
  <si>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</si>
  <si>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</si>
  <si>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</si>
  <si>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</si>
  <si>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</si>
  <si>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</si>
  <si>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</si>
  <si>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</si>
  <si>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</si>
  <si>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</si>
  <si>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</si>
  <si>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</si>
  <si>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</si>
  <si>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</si>
  <si>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</si>
  <si>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</si>
  <si>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</si>
  <si>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</si>
  <si>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</si>
  <si>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</si>
  <si>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</si>
  <si>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</si>
  <si>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</si>
  <si>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</si>
  <si>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</si>
  <si>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</si>
  <si>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</si>
  <si>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</si>
  <si>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</si>
  <si>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</si>
  <si>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</si>
  <si>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</si>
  <si>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</si>
  <si>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</si>
  <si>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</si>
  <si>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</si>
  <si>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</si>
  <si>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</si>
  <si>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</si>
  <si>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</si>
  <si>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</si>
  <si>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</si>
  <si>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</si>
  <si>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</si>
  <si>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</si>
  <si>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</si>
  <si>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</si>
  <si>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</si>
  <si>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</si>
  <si>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</si>
  <si>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</si>
  <si>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</si>
  <si>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</si>
  <si>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</si>
  <si>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</si>
  <si>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</si>
  <si>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</si>
  <si>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</si>
  <si>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</si>
  <si>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</si>
  <si>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</si>
  <si>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</si>
  <si>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</si>
  <si>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</si>
  <si>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</si>
  <si>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</si>
  <si>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</si>
  <si>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</si>
  <si>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</si>
  <si>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</si>
  <si>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</si>
  <si>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</si>
  <si>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</si>
  <si>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</si>
  <si>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</si>
  <si>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</si>
  <si>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</si>
  <si>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</si>
  <si>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</si>
  <si>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</si>
  <si>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</si>
  <si>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</si>
  <si>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</si>
  <si>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</si>
  <si>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</si>
  <si>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</si>
  <si>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</si>
  <si>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</si>
  <si>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</si>
  <si>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</si>
  <si>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</si>
  <si>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</si>
  <si>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</si>
  <si>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</si>
  <si>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</si>
  <si>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</si>
  <si>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</si>
  <si>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</si>
  <si>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</si>
  <si>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</si>
  <si>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</si>
  <si>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</si>
  <si>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</si>
  <si>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</si>
  <si>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</si>
  <si>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</si>
  <si>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</si>
  <si>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</si>
  <si>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</si>
  <si>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</si>
  <si>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</si>
  <si>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</si>
  <si>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</si>
  <si>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</si>
  <si>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</si>
  <si>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</si>
  <si>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</si>
  <si>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</si>
  <si>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</si>
  <si>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</si>
  <si>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</si>
  <si>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</si>
  <si>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</si>
  <si>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</si>
  <si>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</si>
  <si>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</si>
  <si>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</si>
  <si>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</si>
  <si>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</si>
  <si>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</si>
  <si>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</si>
  <si>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</si>
  <si>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</si>
  <si>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</si>
  <si>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</si>
  <si>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</si>
  <si>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</si>
  <si>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</si>
  <si>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</si>
  <si>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</si>
  <si>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</si>
  <si>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</si>
  <si>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</si>
  <si>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</si>
  <si>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</si>
  <si>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</si>
  <si>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</si>
  <si>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</si>
  <si>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</si>
  <si>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</si>
  <si>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</si>
  <si>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</si>
  <si>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</si>
  <si>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</si>
  <si>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</si>
  <si>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</si>
  <si>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</si>
  <si>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</si>
  <si>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</si>
  <si>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</si>
  <si>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</si>
  <si>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</si>
  <si>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</si>
  <si>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</si>
  <si>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</si>
  <si>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</si>
  <si>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</si>
  <si>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</si>
  <si>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</si>
  <si>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</si>
  <si>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</si>
  <si>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</si>
  <si>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</si>
  <si>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</si>
  <si>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</si>
  <si>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</si>
  <si>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</si>
  <si>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</si>
  <si>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</si>
  <si>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</si>
  <si>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</si>
  <si>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</si>
  <si>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</si>
  <si>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</si>
  <si>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</si>
  <si>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</si>
  <si>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</si>
  <si>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</si>
  <si>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</si>
  <si>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</si>
  <si>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</si>
  <si>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</si>
  <si>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</si>
  <si>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</si>
  <si>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</si>
  <si>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</si>
  <si>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</si>
  <si>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</si>
  <si>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</si>
  <si>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</si>
  <si>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</si>
  <si>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</si>
  <si>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</si>
  <si>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</si>
  <si>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</si>
  <si>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</si>
  <si>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</si>
  <si>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</si>
  <si>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</si>
  <si>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</si>
  <si>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</si>
  <si>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</si>
  <si>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</si>
  <si>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</si>
  <si>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</si>
  <si>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</si>
  <si>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</si>
  <si>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</si>
  <si>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</si>
  <si>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</si>
  <si>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</si>
  <si>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</si>
  <si>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</si>
  <si>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</si>
  <si>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</si>
  <si>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</si>
  <si>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</si>
  <si>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</si>
  <si>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</si>
  <si>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</si>
  <si>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</si>
  <si>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</si>
  <si>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</si>
  <si>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</si>
  <si>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</si>
  <si>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</si>
  <si>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</si>
  <si>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</si>
  <si>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</si>
  <si>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</si>
  <si>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</si>
  <si>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</si>
  <si>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</si>
  <si>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</si>
  <si>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</si>
  <si>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</si>
  <si>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</si>
  <si>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</si>
  <si>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</si>
  <si>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</si>
  <si>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</si>
  <si>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</si>
  <si>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</si>
  <si>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</si>
  <si>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</si>
  <si>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</si>
  <si>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</si>
  <si>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</si>
  <si>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</si>
  <si>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</si>
  <si>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</si>
  <si>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</si>
  <si>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</si>
  <si>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</si>
  <si>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</si>
  <si>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</si>
  <si>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</si>
  <si>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</si>
  <si>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</si>
  <si>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</si>
  <si>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</si>
  <si>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</si>
  <si>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</si>
  <si>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</si>
  <si>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</si>
  <si>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</si>
  <si>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</si>
  <si>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</si>
  <si>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</si>
  <si>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</si>
  <si>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</si>
  <si>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</si>
  <si>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</si>
  <si>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</si>
  <si>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</si>
  <si>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</si>
  <si>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</si>
  <si>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</si>
  <si>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</si>
  <si>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</si>
  <si>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</si>
  <si>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</si>
  <si>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</si>
  <si>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</si>
  <si>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</si>
  <si>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</si>
  <si>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</si>
  <si>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</si>
  <si>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</si>
  <si>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</si>
  <si>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</si>
  <si>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</si>
  <si>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</si>
  <si>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</si>
  <si>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</si>
  <si>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</si>
  <si>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</si>
  <si>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</si>
  <si>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</si>
  <si>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</si>
  <si>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</si>
  <si>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</si>
  <si>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</si>
  <si>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</si>
  <si>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</si>
  <si>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</si>
  <si>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</si>
  <si>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</si>
  <si>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</si>
  <si>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</si>
  <si>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</si>
  <si>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</si>
  <si>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</si>
  <si>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</si>
  <si>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</si>
  <si>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</si>
  <si>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</si>
  <si>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</si>
  <si>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</si>
  <si>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</si>
  <si>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</si>
  <si>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</si>
  <si>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</si>
  <si>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</si>
  <si>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</si>
  <si>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</si>
  <si>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</si>
  <si>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</si>
  <si>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</si>
  <si>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</si>
  <si>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</si>
  <si>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</si>
  <si>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</si>
  <si>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</si>
  <si>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</si>
  <si>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</si>
  <si>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</si>
  <si>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</si>
  <si>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</si>
  <si>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</si>
  <si>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</si>
  <si>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</si>
  <si>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</si>
  <si>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</si>
  <si>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</si>
  <si>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</si>
  <si>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</si>
  <si>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</si>
  <si>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</si>
  <si>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</si>
  <si>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</si>
  <si>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</si>
  <si>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</si>
  <si>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</si>
  <si>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</si>
  <si>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</si>
  <si>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</si>
  <si>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</si>
  <si>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</si>
  <si>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</si>
  <si>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</si>
  <si>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</si>
  <si>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</si>
  <si>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</si>
  <si>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</si>
  <si>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</si>
  <si>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</si>
  <si>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</si>
  <si>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</si>
  <si>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</si>
  <si>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</si>
  <si>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</si>
  <si>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</si>
  <si>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</si>
  <si>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</si>
  <si>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</si>
  <si>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</si>
  <si>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</si>
  <si>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</si>
  <si>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</si>
  <si>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</si>
  <si>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</si>
  <si>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</si>
  <si>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</si>
  <si>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</si>
  <si>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</si>
  <si>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</si>
  <si>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</si>
  <si>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</si>
  <si>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</si>
  <si>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</si>
  <si>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</si>
  <si>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</si>
  <si>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</si>
  <si>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</si>
  <si>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</si>
  <si>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</si>
  <si>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</si>
  <si>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</si>
  <si>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</si>
  <si>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</si>
  <si>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</si>
  <si>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</si>
  <si>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</si>
  <si>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</si>
  <si>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</si>
  <si>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</si>
  <si>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</si>
  <si>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</si>
  <si>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</si>
  <si>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</si>
  <si>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</si>
  <si>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</si>
  <si>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</si>
  <si>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</si>
  <si>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</si>
  <si>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</si>
  <si>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</si>
  <si>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</si>
  <si>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</si>
  <si>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</si>
  <si>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</si>
  <si>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</si>
  <si>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</si>
  <si>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</si>
  <si>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</si>
  <si>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</si>
  <si>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</si>
  <si>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</si>
  <si>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</si>
  <si>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</si>
  <si>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</si>
  <si>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</si>
  <si>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</si>
  <si>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</si>
  <si>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</si>
  <si>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</si>
  <si>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</si>
  <si>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</si>
  <si>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</si>
  <si>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</si>
  <si>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</si>
  <si>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</si>
  <si>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</si>
  <si>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</si>
  <si>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</si>
  <si>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</si>
  <si>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</si>
  <si>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</si>
  <si>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</si>
  <si>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</si>
  <si>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</si>
  <si>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</si>
  <si>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</si>
  <si>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</si>
  <si>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</si>
  <si>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</si>
  <si>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</si>
  <si>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</si>
  <si>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</si>
  <si>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</si>
  <si>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</si>
  <si>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</si>
  <si>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</si>
  <si>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</si>
  <si>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</si>
  <si>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</si>
  <si>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</si>
  <si>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</si>
  <si>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</si>
  <si>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</si>
  <si>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</si>
  <si>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</si>
  <si>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</si>
  <si>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</si>
  <si>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</si>
  <si>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</si>
  <si>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</si>
  <si>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</si>
  <si>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</si>
  <si>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</si>
  <si>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</si>
  <si>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</si>
  <si>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</si>
  <si>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</si>
  <si>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</si>
  <si>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</si>
  <si>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</si>
  <si>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</si>
  <si>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</si>
  <si>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</si>
  <si>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</si>
  <si>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</si>
  <si>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</si>
  <si>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</si>
  <si>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</si>
  <si>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</si>
  <si>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</si>
  <si>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</si>
  <si>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</si>
  <si>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</si>
  <si>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</si>
  <si>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</si>
  <si>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</si>
  <si>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</si>
  <si>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</si>
  <si>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</si>
  <si>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</si>
  <si>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</si>
  <si>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</si>
  <si>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</si>
  <si>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</si>
  <si>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</si>
  <si>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</si>
  <si>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</si>
  <si>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</si>
  <si>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</si>
  <si>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</si>
  <si>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</si>
  <si>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</si>
  <si>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</si>
  <si>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</si>
  <si>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</si>
  <si>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</si>
  <si>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</si>
  <si>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</si>
  <si>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</si>
  <si>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</si>
  <si>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</si>
  <si>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</si>
  <si>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</si>
  <si>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</si>
  <si>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</si>
  <si>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</si>
  <si>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</si>
  <si>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</si>
  <si>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</si>
  <si>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</si>
  <si>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</si>
  <si>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</si>
  <si>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</si>
  <si>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</si>
  <si>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</si>
  <si>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</si>
  <si>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</si>
  <si>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</si>
  <si>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</si>
  <si>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</si>
  <si>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</si>
  <si>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</si>
  <si>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</si>
  <si>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</si>
  <si>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</si>
  <si>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</si>
  <si>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</si>
  <si>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</si>
  <si>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</si>
  <si>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</si>
  <si>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</si>
  <si>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</si>
  <si>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</si>
  <si>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</si>
  <si>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</si>
  <si>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</si>
  <si>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</si>
  <si>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</si>
  <si>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</si>
  <si>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</si>
  <si>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</si>
  <si>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</si>
  <si>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</si>
  <si>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</si>
  <si>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</si>
  <si>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</si>
  <si>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</si>
  <si>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</si>
  <si>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</si>
  <si>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</si>
  <si>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</si>
  <si>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</si>
  <si>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</si>
  <si>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</si>
  <si>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</si>
  <si>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</si>
  <si>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</si>
  <si>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</si>
  <si>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</si>
  <si>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</si>
  <si>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</si>
  <si>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</si>
  <si>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</si>
  <si>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</si>
  <si>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</si>
  <si>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</si>
  <si>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</si>
  <si>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</si>
  <si>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</si>
  <si>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</si>
  <si>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</si>
  <si>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</si>
  <si>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</si>
  <si>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</si>
  <si>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</si>
  <si>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</si>
  <si>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</si>
  <si>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</si>
  <si>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</si>
  <si>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</si>
  <si>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</si>
  <si>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</si>
  <si>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</si>
  <si>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</si>
  <si>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</si>
  <si>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</si>
  <si>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</si>
  <si>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</si>
  <si>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</si>
  <si>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</si>
  <si>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</si>
  <si>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</si>
  <si>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</si>
  <si>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</si>
  <si>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</si>
  <si>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</si>
  <si>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</si>
  <si>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</si>
  <si>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</si>
  <si>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</si>
  <si>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</si>
  <si>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</si>
  <si>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</si>
  <si>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</si>
  <si>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</si>
  <si>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</si>
  <si>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</si>
  <si>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</si>
  <si>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</si>
  <si>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</si>
  <si>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</si>
  <si>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</si>
  <si>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</si>
  <si>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</si>
  <si>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</si>
  <si>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</si>
  <si>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</si>
  <si>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</si>
  <si>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</si>
  <si>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</si>
  <si>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</si>
  <si>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</si>
  <si>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</si>
  <si>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</si>
  <si>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</si>
  <si>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</si>
  <si>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</si>
  <si>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</si>
  <si>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</si>
  <si>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</si>
  <si>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</si>
  <si>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</si>
  <si>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</si>
  <si>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</si>
  <si>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</si>
  <si>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</si>
  <si>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</si>
  <si>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</si>
  <si>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</si>
  <si>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</si>
  <si>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</si>
  <si>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</si>
  <si>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</si>
  <si>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</si>
  <si>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</si>
  <si>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</si>
  <si>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</si>
  <si>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</si>
  <si>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</si>
  <si>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</si>
  <si>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</si>
  <si>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</si>
  <si>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</si>
  <si>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</si>
  <si>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</si>
  <si>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</si>
  <si>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</si>
  <si>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</si>
  <si>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</si>
  <si>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</si>
  <si>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</si>
  <si>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</si>
  <si>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</si>
  <si>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</si>
  <si>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</si>
  <si>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</si>
  <si>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</si>
  <si>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</si>
  <si>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</si>
  <si>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</si>
  <si>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</si>
  <si>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</si>
  <si>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</si>
  <si>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</si>
  <si>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</si>
  <si>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</si>
  <si>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</si>
  <si>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</si>
  <si>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</si>
  <si>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</si>
  <si>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</si>
  <si>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</si>
  <si>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</si>
  <si>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</si>
  <si>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</si>
  <si>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</si>
  <si>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</si>
  <si>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</si>
  <si>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</si>
  <si>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</si>
  <si>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</si>
  <si>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</si>
  <si>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</si>
  <si>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</si>
  <si>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</si>
  <si>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</si>
  <si>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</si>
  <si>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</si>
  <si>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</si>
  <si>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</si>
  <si>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</si>
  <si>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</si>
  <si>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</si>
  <si>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</si>
  <si>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</si>
  <si>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</si>
  <si>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</si>
  <si>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</si>
  <si>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</si>
  <si>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</si>
  <si>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</si>
  <si>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</si>
  <si>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</si>
  <si>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</si>
  <si>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</si>
  <si>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</si>
  <si>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</si>
  <si>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</si>
  <si>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</si>
  <si>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</si>
  <si>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</si>
  <si>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</si>
  <si>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</si>
  <si>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</si>
  <si>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</si>
  <si>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</si>
  <si>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</si>
  <si>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</si>
  <si>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</si>
  <si>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</si>
  <si>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</si>
  <si>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</si>
  <si>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</si>
  <si>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</si>
  <si>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</si>
  <si>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</si>
  <si>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</si>
  <si>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</si>
  <si>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</si>
  <si>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</si>
  <si>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</si>
  <si>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</si>
  <si>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</si>
  <si>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</si>
  <si>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</si>
  <si>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</si>
  <si>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</si>
  <si>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</si>
  <si>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</si>
  <si>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</si>
  <si>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</si>
  <si>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</si>
  <si>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</si>
  <si>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</si>
  <si>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</si>
  <si>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</si>
  <si>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</si>
  <si>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</si>
  <si>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</si>
  <si>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</si>
  <si>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</si>
  <si>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</si>
  <si>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</si>
  <si>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</si>
  <si>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</si>
  <si>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</si>
  <si>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</si>
  <si>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</si>
  <si>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</si>
  <si>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</si>
  <si>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</si>
  <si>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</si>
  <si>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</si>
  <si>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</si>
  <si>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</si>
  <si>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</si>
  <si>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</si>
  <si>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</si>
  <si>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</si>
  <si>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</si>
  <si>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</si>
  <si>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</si>
  <si>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</si>
  <si>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</si>
  <si>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</si>
  <si>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</si>
  <si>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</si>
  <si>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</si>
  <si>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</si>
  <si>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</si>
  <si>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</si>
  <si>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</si>
  <si>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</si>
  <si>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</si>
  <si>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</si>
  <si>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</si>
  <si>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</si>
  <si>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</si>
  <si>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</si>
  <si>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</si>
  <si>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</si>
  <si>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</si>
  <si>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</si>
  <si>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</si>
  <si>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</si>
  <si>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</si>
  <si>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</si>
  <si>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</si>
  <si>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</si>
  <si>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</si>
  <si>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</si>
  <si>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</si>
  <si>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</si>
  <si>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</si>
  <si>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</si>
  <si>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</si>
  <si>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</si>
  <si>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</si>
  <si>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</si>
  <si>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</si>
  <si>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</si>
  <si>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</si>
  <si>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</si>
  <si>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</si>
  <si>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</si>
  <si>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</si>
  <si>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</si>
  <si>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</si>
  <si>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</si>
  <si>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</si>
  <si>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</si>
  <si>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</si>
  <si>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</si>
  <si>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</si>
  <si>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</si>
  <si>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</si>
  <si>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</si>
  <si>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</si>
  <si>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</si>
  <si>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</si>
  <si>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</si>
  <si>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</si>
  <si>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</si>
  <si>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</si>
  <si>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</si>
  <si>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</si>
  <si>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</si>
  <si>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</si>
  <si>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</si>
  <si>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</si>
  <si>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</si>
  <si>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</si>
  <si>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</si>
  <si>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</si>
  <si>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</si>
  <si>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</si>
  <si>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</si>
  <si>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</si>
  <si>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</si>
  <si>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</si>
  <si>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</si>
  <si>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</si>
  <si>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</si>
  <si>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</si>
  <si>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</si>
  <si>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</si>
  <si>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</si>
  <si>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</si>
  <si>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</si>
  <si>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</si>
  <si>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</si>
  <si>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</si>
  <si>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</si>
  <si>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</si>
  <si>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</si>
  <si>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</si>
  <si>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</si>
  <si>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</si>
  <si>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</si>
  <si>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</si>
  <si>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</si>
  <si>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</si>
  <si>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</si>
  <si>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</si>
  <si>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</si>
  <si>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</si>
  <si>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</si>
  <si>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</si>
  <si>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</si>
  <si>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</si>
  <si>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</si>
  <si>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</si>
  <si>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</si>
  <si>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</si>
  <si>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</si>
  <si>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</si>
  <si>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</si>
  <si>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</si>
  <si>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</si>
  <si>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</si>
  <si>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</si>
  <si>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</si>
  <si>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</si>
  <si>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</si>
  <si>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</si>
  <si>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</si>
  <si>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</si>
  <si>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</si>
  <si>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</si>
  <si>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</si>
  <si>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</si>
  <si>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</si>
  <si>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</si>
  <si>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</si>
  <si>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</si>
  <si>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</si>
  <si>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</si>
  <si>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</si>
  <si>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</si>
  <si>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</si>
  <si>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</si>
  <si>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</si>
  <si>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</si>
  <si>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</si>
  <si>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</si>
  <si>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</si>
  <si>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</si>
  <si>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</si>
  <si>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</si>
  <si>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</si>
  <si>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</si>
  <si>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</si>
  <si>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</si>
  <si>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</si>
  <si>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</si>
  <si>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</si>
  <si>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</si>
  <si>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</si>
  <si>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</si>
  <si>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</si>
  <si>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</si>
  <si>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</si>
  <si>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</si>
  <si>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</si>
  <si>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</si>
  <si>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</si>
  <si>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</si>
  <si>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</si>
  <si>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</si>
  <si>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</si>
  <si>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</si>
  <si>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</si>
  <si>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</si>
  <si>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</si>
  <si>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</si>
  <si>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</si>
  <si>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</si>
  <si>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</si>
  <si>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</si>
  <si>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</si>
  <si>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</si>
  <si>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</si>
  <si>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</si>
  <si>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</si>
  <si>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</si>
  <si>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</si>
  <si>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</si>
  <si>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</si>
  <si>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</si>
  <si>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</si>
  <si>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</si>
  <si>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</si>
  <si>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</si>
  <si>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</si>
  <si>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</si>
  <si>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</si>
  <si>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</si>
  <si>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</si>
  <si>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</si>
  <si>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</si>
  <si>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</si>
  <si>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</si>
  <si>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</si>
  <si>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</si>
  <si>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</si>
  <si>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</si>
  <si>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</si>
  <si>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</si>
  <si>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</si>
  <si>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</si>
  <si>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</si>
  <si>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</si>
  <si>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</si>
  <si>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</si>
  <si>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</si>
  <si>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</si>
  <si>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</si>
  <si>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</si>
  <si>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</si>
  <si>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</si>
  <si>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</si>
  <si>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</si>
  <si>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</si>
  <si>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</si>
  <si>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</si>
  <si>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</si>
  <si>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</si>
  <si>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</si>
  <si>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</si>
  <si>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</si>
  <si>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</si>
  <si>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</si>
  <si>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</si>
  <si>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</si>
  <si>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</si>
  <si>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</si>
  <si>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</si>
  <si>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</si>
  <si>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</si>
  <si>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</si>
  <si>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</si>
  <si>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</si>
  <si>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</si>
  <si>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</si>
  <si>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</si>
  <si>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</si>
  <si>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</si>
  <si>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</si>
  <si>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</si>
  <si>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</si>
  <si>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</si>
  <si>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</si>
  <si>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</si>
  <si>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</si>
  <si>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</si>
  <si>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</si>
  <si>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</si>
  <si>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</si>
  <si>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</si>
  <si>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</si>
  <si>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</si>
  <si>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</si>
  <si>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</si>
  <si>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</si>
  <si>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</si>
  <si>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</si>
  <si>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</si>
  <si>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</si>
  <si>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</si>
  <si>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</si>
  <si>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</si>
  <si>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</si>
  <si>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</si>
  <si>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</si>
  <si>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</si>
  <si>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</si>
  <si>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</si>
  <si>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</si>
  <si>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</si>
  <si>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</si>
  <si>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</si>
  <si>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</si>
  <si>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</si>
  <si>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</si>
  <si>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</si>
  <si>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</si>
  <si>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</si>
  <si>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</si>
  <si>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</si>
  <si>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</si>
  <si>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</si>
  <si>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</si>
  <si>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</si>
  <si>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</si>
  <si>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</si>
  <si>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</si>
  <si>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</si>
  <si>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</si>
  <si>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</si>
  <si>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</si>
  <si>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</si>
  <si>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</si>
  <si>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</si>
  <si>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</si>
  <si>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</si>
  <si>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</si>
  <si>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</si>
  <si>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</si>
  <si>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</si>
  <si>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</si>
  <si>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</si>
  <si>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</si>
  <si>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</si>
  <si>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</si>
  <si>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</si>
  <si>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</si>
  <si>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</si>
  <si>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</si>
  <si>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</si>
  <si>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</si>
  <si>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</si>
  <si>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</si>
  <si>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</si>
  <si>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</si>
  <si>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</si>
  <si>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</si>
  <si>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</si>
  <si>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</si>
  <si>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</si>
  <si>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</si>
  <si>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</si>
  <si>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</si>
  <si>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</si>
  <si>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</si>
  <si>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</si>
  <si>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</si>
  <si>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</si>
  <si>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</si>
  <si>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</si>
  <si>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</si>
  <si>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</si>
  <si>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</si>
  <si>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</si>
  <si>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</si>
  <si>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</si>
  <si>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</si>
  <si>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</si>
  <si>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</si>
  <si>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</si>
  <si>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</si>
  <si>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</si>
  <si>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</si>
  <si>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</si>
  <si>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</si>
  <si>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</si>
  <si>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</si>
  <si>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</si>
  <si>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</si>
  <si>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</si>
  <si>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</si>
  <si>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</si>
  <si>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</si>
  <si>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</si>
  <si>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</si>
  <si>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</si>
  <si>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</si>
  <si>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</si>
  <si>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</si>
  <si>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</si>
  <si>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</si>
  <si>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</si>
  <si>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</si>
  <si>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</si>
  <si>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</si>
  <si>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</si>
  <si>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</si>
  <si>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</si>
  <si>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</si>
  <si>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</si>
  <si>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</si>
  <si>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</si>
  <si>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</si>
  <si>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</si>
  <si>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</si>
  <si>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</si>
  <si>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</si>
  <si>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</si>
  <si>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</si>
  <si>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</si>
  <si>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</si>
  <si>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</si>
  <si>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</si>
  <si>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</si>
  <si>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</si>
  <si>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</si>
  <si>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</si>
  <si>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</si>
  <si>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</si>
  <si>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</si>
  <si>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</si>
  <si>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</si>
  <si>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</si>
  <si>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</si>
  <si>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</si>
  <si>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</si>
  <si>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</si>
  <si>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</si>
  <si>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</si>
  <si>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</si>
  <si>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</si>
  <si>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</si>
  <si>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</si>
  <si>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</si>
  <si>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</si>
  <si>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</si>
  <si>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</si>
  <si>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</si>
  <si>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</si>
  <si>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</si>
  <si>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</si>
  <si>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</si>
  <si>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</si>
  <si>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</si>
  <si>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</si>
  <si>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</si>
  <si>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</si>
  <si>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</si>
  <si>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</si>
  <si>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</si>
  <si>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</si>
  <si>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</si>
  <si>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</si>
  <si>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</si>
  <si>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</si>
  <si>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</si>
  <si>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</si>
  <si>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</si>
  <si>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</si>
  <si>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</si>
  <si>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</si>
  <si>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</si>
  <si>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</si>
  <si>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</si>
  <si>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</si>
  <si>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</si>
  <si>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</si>
  <si>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</si>
  <si>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</si>
  <si>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</si>
  <si>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</si>
  <si>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</si>
  <si>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</si>
  <si>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</si>
  <si>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</si>
  <si>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</si>
  <si>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</si>
  <si>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</si>
  <si>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</si>
  <si>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</si>
  <si>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</si>
  <si>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</si>
  <si>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</si>
  <si>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</si>
  <si>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</si>
  <si>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</si>
  <si>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</si>
  <si>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</si>
  <si>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</si>
  <si>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</si>
  <si>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</si>
  <si>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</si>
  <si>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</si>
  <si>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</si>
  <si>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</si>
  <si>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</si>
  <si>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</si>
  <si>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</si>
  <si>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</si>
  <si>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</si>
  <si>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</si>
  <si>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</si>
  <si>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</si>
  <si>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</si>
  <si>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</si>
  <si>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</si>
  <si>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</si>
  <si>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</si>
  <si>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</si>
  <si>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</si>
  <si>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</si>
  <si>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</si>
  <si>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</si>
  <si>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</si>
  <si>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</si>
  <si>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</si>
  <si>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</si>
  <si>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</si>
  <si>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</si>
  <si>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</si>
  <si>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</si>
  <si>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</si>
  <si>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</si>
  <si>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</si>
  <si>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</si>
  <si>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</si>
  <si>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</si>
  <si>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</si>
  <si>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</si>
  <si>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</si>
  <si>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</si>
  <si>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</si>
  <si>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</si>
  <si>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</si>
  <si>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</si>
  <si>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</si>
  <si>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</si>
  <si>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</si>
  <si>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</si>
  <si>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</si>
  <si>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</si>
  <si>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</si>
  <si>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</si>
  <si>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</si>
  <si>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</si>
  <si>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</si>
  <si>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</si>
  <si>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</si>
  <si>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</si>
  <si>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</si>
  <si>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</si>
  <si>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</si>
  <si>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</si>
  <si>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</si>
  <si>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</si>
  <si>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</si>
  <si>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</si>
  <si>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</si>
  <si>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</si>
  <si>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</si>
  <si>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</si>
  <si>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</si>
  <si>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</si>
  <si>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</si>
  <si>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</si>
  <si>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</si>
  <si>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</si>
  <si>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</si>
  <si>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</si>
  <si>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</si>
  <si>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</si>
  <si>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</si>
  <si>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</si>
  <si>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</si>
  <si>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</si>
  <si>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</si>
  <si>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</si>
  <si>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</si>
  <si>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</si>
  <si>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</si>
  <si>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</si>
  <si>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</si>
  <si>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</si>
  <si>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</si>
  <si>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</si>
  <si>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</si>
  <si>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</si>
  <si>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</si>
  <si>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</si>
  <si>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</si>
  <si>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</si>
  <si>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</si>
  <si>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</si>
  <si>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</si>
  <si>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</si>
  <si>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</si>
  <si>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</si>
  <si>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</si>
  <si>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</si>
  <si>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</si>
  <si>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</si>
  <si>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</si>
  <si>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</si>
  <si>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</si>
  <si>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</si>
  <si>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</si>
  <si>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</si>
  <si>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</si>
  <si>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</si>
  <si>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</si>
  <si>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</si>
  <si>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</si>
  <si>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</si>
  <si>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</si>
  <si>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</si>
  <si>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</si>
  <si>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</si>
  <si>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</si>
  <si>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</si>
  <si>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</si>
  <si>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</si>
  <si>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</si>
  <si>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</si>
  <si>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</si>
  <si>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</si>
  <si>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</si>
  <si>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</si>
  <si>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</si>
  <si>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</si>
  <si>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</si>
  <si>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</si>
  <si>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</si>
  <si>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</si>
  <si>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</si>
  <si>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</si>
  <si>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</si>
  <si>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</si>
  <si>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</si>
  <si>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</si>
  <si>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</si>
  <si>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</si>
  <si>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</si>
  <si>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</si>
  <si>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</si>
  <si>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</si>
  <si>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</si>
  <si>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</si>
  <si>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</si>
  <si>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</si>
  <si>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</si>
  <si>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</si>
  <si>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</si>
  <si>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</si>
  <si>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</si>
  <si>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</si>
  <si>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</si>
  <si>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</si>
  <si>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</si>
  <si>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</si>
  <si>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</si>
  <si>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</si>
  <si>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</si>
  <si>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</si>
  <si>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</si>
  <si>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</si>
  <si>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</si>
  <si>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</si>
  <si>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</si>
  <si>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</si>
  <si>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</si>
  <si>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</si>
  <si>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</si>
  <si>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</si>
  <si>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</si>
  <si>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</si>
  <si>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</si>
  <si>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</si>
  <si>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</si>
  <si>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</si>
  <si>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</si>
  <si>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</si>
  <si>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</si>
  <si>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</si>
  <si>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</si>
  <si>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</si>
  <si>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</si>
  <si>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</si>
  <si>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</si>
  <si>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</si>
  <si>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</si>
  <si>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</si>
  <si>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</si>
  <si>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</si>
  <si>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</si>
  <si>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</si>
  <si>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</si>
  <si>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</si>
  <si>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</si>
  <si>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</si>
  <si>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</si>
  <si>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</si>
  <si>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</si>
  <si>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</si>
  <si>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</si>
  <si>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</si>
  <si>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</si>
  <si>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</si>
  <si>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</si>
  <si>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</si>
  <si>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</si>
  <si>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</si>
  <si>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</si>
  <si>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</si>
  <si>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</si>
  <si>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</si>
  <si>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</si>
  <si>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</si>
  <si>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</si>
  <si>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</si>
  <si>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</si>
  <si>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</si>
  <si>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</si>
  <si>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</si>
  <si>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</si>
  <si>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</si>
  <si>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</si>
  <si>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</si>
  <si>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</si>
  <si>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</si>
  <si>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</si>
  <si>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</si>
  <si>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</si>
  <si>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</si>
  <si>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</si>
  <si>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</si>
  <si>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</si>
  <si>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</si>
  <si>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</si>
  <si>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</si>
  <si>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</si>
  <si>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</si>
  <si>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</si>
  <si>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</si>
  <si>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</si>
  <si>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</si>
  <si>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</si>
  <si>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</si>
  <si>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</si>
  <si>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</si>
  <si>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</si>
  <si>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</si>
  <si>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</si>
  <si>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</si>
  <si>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</si>
  <si>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</si>
  <si>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</si>
  <si>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</si>
  <si>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</si>
  <si>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</si>
  <si>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</si>
  <si>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</si>
  <si>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</si>
  <si>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</si>
  <si>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</si>
  <si>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</si>
  <si>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</si>
  <si>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</si>
  <si>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</si>
  <si>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</si>
  <si>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</si>
  <si>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</si>
  <si>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</si>
  <si>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</si>
  <si>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</si>
  <si>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</si>
  <si>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</si>
  <si>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</si>
  <si>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</si>
  <si>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</si>
  <si>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</si>
  <si>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</si>
  <si>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</si>
  <si>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</si>
  <si>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</si>
  <si>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</si>
  <si>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</si>
  <si>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</si>
  <si>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</si>
  <si>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</si>
  <si>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</si>
  <si>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</si>
  <si>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</si>
  <si>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</si>
  <si>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</si>
  <si>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</si>
  <si>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</si>
  <si>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</si>
  <si>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</si>
  <si>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</si>
  <si>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</si>
  <si>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</si>
  <si>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</si>
  <si>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</si>
  <si>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</si>
  <si>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</si>
  <si>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</si>
  <si>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</si>
  <si>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</si>
  <si>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</si>
  <si>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</si>
  <si>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</si>
  <si>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</si>
  <si>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</si>
  <si>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</si>
  <si>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</si>
  <si>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</si>
  <si>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</si>
  <si>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</si>
  <si>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</si>
  <si>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</si>
  <si>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</si>
  <si>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</si>
  <si>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</si>
  <si>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</si>
  <si>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</si>
  <si>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</si>
  <si>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</si>
  <si>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</si>
  <si>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</si>
  <si>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</si>
  <si>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</si>
  <si>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</si>
  <si>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</si>
  <si>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</si>
  <si>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</si>
  <si>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</si>
  <si>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</si>
  <si>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</si>
  <si>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</si>
  <si>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</si>
  <si>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</si>
  <si>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</si>
  <si>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</si>
  <si>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</si>
  <si>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</si>
  <si>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</si>
  <si>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</si>
  <si>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</si>
  <si>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</si>
  <si>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</si>
  <si>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</si>
  <si>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</si>
  <si>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</si>
  <si>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</si>
  <si>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</si>
  <si>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</si>
  <si>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</si>
  <si>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</si>
  <si>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</si>
  <si>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</si>
  <si>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</si>
  <si>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</si>
  <si>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</si>
  <si>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</si>
  <si>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</si>
  <si>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</si>
  <si>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</si>
  <si>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</si>
  <si>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</si>
  <si>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</si>
  <si>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</si>
  <si>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</si>
  <si>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</si>
  <si>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</si>
  <si>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</si>
  <si>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</si>
  <si>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</si>
  <si>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</si>
  <si>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</si>
  <si>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</si>
  <si>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</si>
  <si>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</si>
  <si>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</si>
  <si>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</si>
  <si>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</si>
  <si>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</si>
  <si>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</si>
  <si>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</si>
  <si>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</si>
  <si>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</si>
  <si>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</si>
  <si>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</si>
  <si>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</si>
  <si>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</si>
  <si>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</si>
  <si>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</si>
  <si>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</si>
  <si>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</si>
  <si>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</si>
  <si>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</si>
  <si>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</si>
  <si>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</si>
  <si>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</si>
  <si>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</si>
  <si>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</si>
  <si>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</si>
  <si>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</si>
  <si>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</si>
  <si>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</si>
  <si>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</si>
  <si>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</si>
  <si>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</si>
  <si>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</si>
  <si>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</si>
  <si>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</si>
  <si>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</si>
  <si>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</si>
  <si>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</si>
  <si>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</si>
  <si>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</si>
  <si>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</si>
  <si>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</si>
  <si>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</si>
  <si>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</si>
  <si>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</si>
  <si>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</si>
  <si>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</si>
  <si>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</si>
  <si>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</si>
  <si>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</si>
  <si>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</si>
  <si>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</si>
  <si>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</si>
  <si>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</si>
  <si>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</si>
  <si>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</si>
  <si>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</si>
  <si>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</si>
  <si>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</si>
  <si>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</si>
  <si>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</si>
  <si>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</si>
  <si>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</si>
  <si>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</si>
  <si>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</si>
  <si>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</si>
  <si>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</si>
  <si>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</si>
  <si>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</si>
  <si>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</si>
  <si>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</si>
  <si>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</si>
  <si>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</si>
  <si>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</si>
  <si>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</si>
  <si>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</si>
  <si>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</si>
  <si>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</si>
  <si>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</si>
  <si>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</si>
  <si>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</si>
  <si>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</si>
  <si>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</si>
  <si>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</si>
  <si>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</si>
  <si>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</si>
  <si>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</si>
  <si>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</si>
  <si>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</si>
  <si>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</si>
  <si>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</si>
  <si>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</si>
  <si>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</si>
  <si>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</si>
  <si>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</si>
  <si>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</si>
  <si>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</si>
  <si>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</si>
  <si>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</si>
  <si>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</si>
  <si>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</si>
  <si>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</si>
  <si>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</si>
  <si>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</si>
  <si>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</si>
  <si>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</si>
  <si>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</si>
  <si>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</si>
  <si>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</si>
  <si>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</si>
  <si>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</si>
  <si>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</si>
  <si>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</si>
  <si>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</si>
  <si>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</si>
  <si>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</si>
  <si>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</si>
  <si>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</si>
  <si>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</si>
  <si>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</si>
  <si>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</si>
  <si>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</si>
  <si>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</si>
  <si>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</si>
  <si>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</si>
  <si>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</si>
  <si>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</si>
  <si>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</si>
  <si>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</si>
  <si>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</si>
  <si>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</si>
  <si>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</si>
  <si>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</si>
  <si>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</si>
  <si>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</si>
  <si>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</si>
  <si>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</si>
  <si>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</si>
  <si>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</si>
  <si>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</si>
  <si>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</si>
  <si>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</si>
  <si>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</si>
  <si>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</si>
  <si>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</si>
  <si>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</si>
  <si>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</si>
  <si>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</si>
  <si>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</si>
  <si>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</si>
  <si>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</si>
  <si>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</si>
  <si>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</si>
  <si>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</si>
  <si>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</si>
  <si>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</si>
  <si>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</si>
  <si>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</si>
  <si>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</si>
  <si>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</si>
  <si>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</si>
  <si>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</si>
  <si>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</si>
  <si>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</si>
  <si>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</si>
  <si>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</si>
  <si>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</si>
  <si>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</si>
  <si>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</si>
  <si>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</si>
  <si>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</si>
  <si>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</si>
  <si>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</si>
  <si>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</si>
  <si>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</si>
  <si>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</si>
  <si>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</si>
  <si>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</si>
  <si>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</si>
  <si>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</si>
  <si>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</si>
  <si>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</si>
  <si>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</si>
  <si>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</si>
  <si>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</si>
  <si>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</si>
  <si>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</si>
  <si>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</si>
  <si>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</si>
  <si>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</si>
  <si>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</si>
  <si>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</si>
  <si>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</si>
  <si>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</si>
  <si>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</si>
  <si>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</si>
  <si>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</si>
  <si>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</si>
  <si>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</si>
  <si>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</si>
  <si>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</si>
  <si>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</si>
  <si>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</si>
  <si>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</si>
  <si>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</si>
  <si>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</si>
  <si>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</si>
  <si>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</si>
  <si>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</si>
  <si>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</si>
  <si>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</si>
  <si>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</si>
  <si>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</si>
  <si>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</si>
  <si>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</si>
  <si>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</si>
  <si>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</si>
  <si>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</si>
  <si>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</si>
  <si>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</si>
  <si>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</si>
  <si>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</si>
  <si>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</si>
  <si>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</si>
  <si>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</si>
  <si>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</si>
  <si>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</si>
  <si>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</si>
  <si>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</si>
  <si>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</si>
  <si>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</si>
  <si>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</si>
  <si>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</si>
  <si>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</si>
  <si>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</si>
  <si>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</si>
  <si>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</si>
  <si>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</si>
  <si>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</si>
  <si>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</si>
  <si>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</si>
  <si>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</si>
  <si>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</si>
  <si>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</si>
  <si>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</si>
  <si>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</si>
  <si>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</si>
  <si>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</si>
  <si>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</si>
  <si>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</si>
  <si>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</si>
  <si>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</si>
  <si>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</si>
  <si>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</si>
  <si>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</si>
  <si>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</si>
  <si>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</si>
  <si>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</si>
  <si>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</si>
  <si>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</si>
  <si>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</si>
  <si>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</si>
  <si>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</si>
  <si>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</si>
  <si>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</si>
  <si>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</si>
  <si>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</si>
  <si>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</si>
  <si>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</si>
  <si>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</si>
  <si>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</si>
  <si>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</si>
  <si>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</si>
  <si>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</si>
  <si>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</si>
  <si>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</si>
  <si>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</si>
  <si>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</si>
  <si>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</si>
  <si>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</si>
  <si>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</si>
  <si>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</si>
  <si>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</si>
  <si>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</si>
  <si>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</si>
  <si>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</si>
  <si>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</si>
  <si>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</si>
  <si>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</si>
  <si>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</si>
  <si>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</si>
  <si>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</si>
  <si>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</si>
  <si>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</si>
  <si>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</si>
  <si>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</si>
  <si>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</si>
  <si>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</si>
  <si>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</si>
  <si>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</si>
  <si>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</si>
  <si>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</si>
  <si>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</si>
  <si>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</si>
  <si>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</si>
  <si>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</si>
  <si>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</si>
  <si>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</si>
  <si>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</si>
  <si>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</si>
  <si>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</si>
  <si>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</si>
  <si>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</si>
  <si>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</si>
  <si>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</si>
  <si>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</si>
  <si>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</si>
  <si>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</si>
  <si>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</si>
  <si>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</si>
  <si>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</si>
  <si>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</si>
  <si>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</si>
  <si>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</si>
  <si>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</si>
  <si>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</si>
  <si>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</si>
  <si>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</si>
  <si>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</si>
  <si>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</si>
  <si>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</si>
  <si>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</si>
  <si>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</si>
  <si>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</si>
  <si>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</si>
  <si>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</si>
  <si>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</si>
  <si>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</si>
  <si>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</si>
  <si>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</si>
  <si>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</si>
  <si>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</si>
  <si>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</si>
  <si>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</si>
  <si>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</si>
  <si>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</si>
  <si>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</si>
  <si>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</si>
  <si>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</si>
  <si>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</si>
  <si>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</si>
  <si>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</si>
  <si>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</si>
  <si>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</si>
  <si>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</si>
  <si>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</si>
  <si>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</si>
  <si>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</si>
  <si>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</si>
  <si>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</si>
  <si>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</si>
  <si>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</si>
  <si>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</si>
  <si>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</si>
  <si>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</si>
  <si>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</si>
  <si>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</si>
  <si>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</si>
  <si>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</si>
  <si>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</si>
  <si>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</si>
  <si>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</si>
  <si>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</si>
  <si>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</si>
  <si>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</si>
  <si>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</si>
  <si>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</si>
  <si>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</si>
  <si>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</si>
  <si>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</si>
  <si>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</si>
  <si>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</si>
  <si>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</si>
  <si>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</si>
  <si>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</si>
  <si>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</si>
  <si>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</si>
  <si>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</si>
  <si>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</si>
  <si>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</si>
  <si>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</si>
  <si>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</si>
  <si>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</si>
  <si>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</si>
  <si>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</si>
  <si>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</si>
  <si>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</si>
  <si>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</si>
  <si>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</si>
  <si>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</si>
  <si>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</si>
  <si>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</si>
  <si>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</si>
  <si>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</si>
  <si>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</si>
  <si>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</si>
  <si>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</si>
  <si>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</si>
  <si>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</si>
  <si>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</si>
  <si>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</si>
  <si>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</si>
  <si>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</si>
  <si>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</si>
  <si>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</si>
  <si>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</si>
  <si>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</si>
  <si>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</si>
  <si>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</si>
  <si>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</si>
  <si>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</si>
  <si>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</si>
  <si>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</si>
  <si>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</si>
  <si>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</si>
  <si>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</si>
  <si>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</si>
  <si>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</si>
  <si>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</si>
  <si>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</si>
  <si>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</si>
  <si>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</si>
  <si>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</si>
  <si>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</si>
  <si>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</si>
  <si>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</si>
  <si>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</si>
  <si>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</si>
  <si>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</si>
  <si>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</si>
  <si>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</si>
  <si>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</si>
  <si>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</si>
  <si>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</si>
  <si>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</si>
  <si>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</si>
  <si>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</si>
  <si>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</si>
  <si>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</si>
  <si>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</si>
  <si>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</si>
  <si>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</si>
  <si>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</si>
  <si>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</si>
  <si>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</si>
  <si>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</si>
  <si>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</si>
  <si>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</si>
  <si>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</si>
  <si>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</si>
  <si>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</si>
  <si>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</si>
  <si>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</si>
  <si>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</si>
  <si>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</si>
  <si>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</si>
  <si>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</si>
  <si>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</si>
  <si>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</si>
  <si>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</si>
  <si>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</si>
  <si>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</si>
  <si>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</si>
  <si>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</si>
  <si>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</si>
  <si>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</si>
  <si>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</si>
  <si>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</si>
  <si>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</si>
  <si>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</si>
  <si>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</si>
  <si>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</si>
  <si>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</si>
  <si>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</si>
  <si>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</si>
  <si>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</si>
  <si>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</si>
  <si>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</si>
  <si>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</si>
  <si>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</si>
  <si>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</si>
  <si>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</si>
  <si>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</si>
  <si>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</si>
  <si>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</si>
  <si>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</si>
  <si>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</si>
  <si>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</si>
  <si>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</si>
  <si>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</si>
  <si>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</si>
  <si>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</si>
  <si>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</si>
  <si>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</si>
  <si>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</si>
  <si>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</si>
  <si>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</si>
  <si>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</si>
  <si>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</si>
  <si>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</si>
  <si>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</si>
  <si>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</si>
  <si>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</si>
  <si>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</si>
  <si>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</si>
  <si>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</si>
  <si>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</si>
  <si>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</si>
  <si>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</si>
  <si>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</si>
  <si>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</si>
  <si>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</si>
  <si>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</si>
  <si>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</si>
  <si>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</si>
  <si>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</si>
  <si>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</si>
  <si>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</si>
  <si>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</si>
  <si>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</si>
  <si>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</si>
  <si>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</si>
  <si>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</si>
  <si>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</si>
  <si>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</si>
  <si>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</si>
  <si>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</si>
  <si>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</si>
  <si>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</si>
  <si>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</si>
  <si>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</si>
  <si>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</si>
  <si>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</si>
  <si>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</si>
  <si>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</si>
  <si>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</si>
  <si>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</si>
  <si>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</si>
  <si>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</si>
  <si>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</si>
  <si>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</si>
  <si>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</si>
  <si>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</si>
  <si>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</si>
  <si>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</si>
  <si>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</si>
  <si>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</si>
  <si>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</si>
  <si>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</si>
  <si>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</si>
  <si>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</si>
  <si>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</si>
  <si>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</si>
  <si>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</si>
  <si>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</si>
  <si>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</si>
  <si>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</si>
  <si>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</si>
  <si>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</si>
  <si>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</si>
  <si>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</si>
  <si>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</si>
  <si>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</si>
  <si>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</si>
  <si>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</si>
  <si>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</si>
  <si>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</si>
  <si>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</si>
  <si>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</si>
  <si>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</si>
  <si>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</si>
  <si>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</si>
  <si>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</si>
  <si>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</si>
  <si>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</si>
  <si>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</si>
  <si>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</si>
  <si>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</si>
  <si>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</si>
  <si>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</si>
  <si>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</si>
  <si>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</si>
  <si>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</si>
  <si>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</si>
  <si>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</si>
  <si>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</si>
  <si>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</si>
  <si>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</si>
  <si>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</si>
  <si>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</si>
  <si>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</si>
  <si>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</si>
  <si>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</si>
  <si>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</si>
  <si>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</si>
  <si>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</si>
  <si>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</si>
  <si>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</si>
  <si>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</si>
  <si>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</si>
  <si>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</si>
  <si>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</si>
  <si>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</si>
  <si>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</si>
  <si>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</si>
  <si>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</si>
  <si>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</si>
  <si>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</si>
  <si>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</si>
  <si>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</si>
  <si>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</si>
  <si>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</si>
  <si>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</si>
  <si>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</si>
  <si>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</si>
  <si>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</si>
  <si>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</si>
  <si>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</si>
  <si>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</si>
  <si>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</si>
  <si>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</si>
  <si>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</si>
  <si>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</si>
  <si>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</si>
  <si>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</si>
  <si>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</si>
  <si>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</si>
  <si>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</si>
  <si>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</si>
  <si>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</si>
  <si>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</si>
  <si>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</si>
  <si>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</si>
  <si>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</si>
  <si>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</si>
  <si>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</si>
  <si>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</si>
  <si>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</si>
  <si>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</si>
  <si>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</si>
  <si>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</si>
  <si>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</si>
  <si>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</si>
  <si>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</si>
  <si>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</si>
  <si>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</si>
  <si>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</si>
  <si>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</si>
  <si>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</si>
  <si>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</si>
  <si>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</si>
  <si>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</si>
  <si>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</si>
  <si>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</si>
  <si>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</si>
  <si>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</si>
  <si>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</si>
  <si>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</si>
  <si>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</si>
  <si>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</si>
  <si>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</si>
  <si>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</si>
  <si>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</si>
  <si>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</si>
  <si>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</si>
  <si>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</si>
  <si>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</si>
  <si>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</si>
  <si>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</si>
  <si>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</si>
  <si>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</si>
  <si>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</si>
  <si>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</si>
  <si>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</si>
  <si>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</si>
  <si>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</si>
  <si>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</si>
  <si>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</si>
  <si>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</si>
  <si>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</si>
  <si>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</si>
  <si>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</si>
  <si>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</si>
  <si>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</si>
  <si>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</si>
  <si>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</si>
  <si>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</si>
  <si>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</si>
  <si>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</si>
  <si>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</si>
  <si>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</si>
  <si>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</si>
  <si>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</si>
  <si>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</si>
  <si>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</si>
  <si>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</si>
  <si>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</si>
  <si>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</si>
  <si>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</si>
  <si>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</si>
  <si>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</si>
  <si>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</si>
  <si>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</si>
  <si>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</si>
  <si>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</si>
  <si>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</si>
  <si>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</si>
  <si>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</si>
  <si>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</si>
  <si>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</si>
  <si>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</si>
  <si>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</si>
  <si>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</si>
  <si>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</si>
  <si>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</si>
  <si>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</si>
  <si>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</si>
  <si>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</si>
  <si>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</si>
  <si>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</si>
  <si>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</si>
  <si>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</si>
  <si>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</si>
  <si>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</si>
  <si>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</si>
  <si>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</si>
  <si>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</si>
  <si>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</si>
  <si>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</si>
  <si>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</si>
  <si>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</si>
  <si>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</si>
  <si>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</si>
  <si>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</si>
  <si>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</si>
  <si>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</si>
  <si>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</si>
  <si>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</si>
  <si>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</si>
  <si>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</si>
  <si>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</si>
  <si>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</si>
  <si>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</si>
  <si>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</si>
  <si>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</si>
  <si>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</si>
  <si>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</si>
  <si>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</si>
  <si>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</si>
  <si>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</si>
  <si>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</si>
  <si>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</si>
  <si>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</si>
  <si>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</si>
  <si>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</si>
  <si>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</si>
  <si>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</si>
  <si>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</si>
  <si>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</si>
  <si>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</si>
  <si>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</si>
  <si>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</si>
  <si>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</si>
  <si>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</si>
  <si>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</si>
  <si>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</si>
  <si>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</si>
  <si>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</si>
  <si>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</si>
  <si>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</si>
  <si>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</si>
  <si>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</si>
  <si>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</si>
  <si>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</si>
  <si>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</si>
  <si>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</si>
  <si>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</si>
  <si>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</si>
  <si>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</si>
  <si>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</si>
  <si>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</si>
  <si>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</si>
  <si>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</si>
  <si>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</si>
  <si>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</si>
  <si>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</si>
  <si>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</si>
  <si>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</si>
  <si>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</si>
  <si>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</si>
  <si>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</si>
  <si>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</si>
  <si>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</si>
  <si>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</si>
  <si>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</si>
  <si>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</si>
  <si>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</si>
  <si>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</si>
  <si>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</si>
  <si>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</si>
  <si>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</si>
  <si>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</si>
  <si>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</si>
  <si>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</si>
  <si>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</si>
  <si>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</si>
  <si>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</si>
  <si>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</si>
  <si>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</si>
  <si>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</si>
  <si>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</si>
  <si>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</si>
  <si>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</si>
  <si>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</si>
  <si>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</si>
  <si>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</si>
  <si>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</si>
  <si>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</si>
  <si>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</si>
  <si>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</si>
  <si>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</si>
  <si>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</si>
  <si>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</si>
  <si>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</si>
  <si>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</si>
  <si>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</si>
  <si>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</si>
  <si>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</si>
  <si>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</si>
  <si>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</si>
  <si>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</si>
  <si>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</si>
  <si>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</si>
  <si>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</si>
  <si>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</si>
  <si>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</si>
  <si>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</si>
  <si>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</si>
  <si>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</si>
  <si>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</si>
  <si>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</si>
  <si>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</si>
  <si>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</si>
  <si>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</si>
  <si>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</si>
  <si>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</si>
  <si>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</si>
  <si>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</si>
  <si>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</si>
  <si>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</si>
  <si>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</si>
  <si>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</si>
  <si>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</si>
  <si>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</si>
  <si>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</si>
  <si>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</si>
  <si>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</si>
  <si>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</si>
  <si>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</si>
  <si>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</si>
  <si>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</si>
  <si>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</si>
  <si>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</si>
  <si>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</si>
  <si>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</si>
  <si>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</si>
  <si>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</si>
  <si>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</si>
  <si>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</si>
  <si>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</si>
  <si>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</si>
  <si>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</si>
  <si>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</si>
  <si>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</si>
  <si>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</si>
  <si>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</si>
  <si>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</si>
  <si>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</si>
  <si>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</si>
  <si>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</si>
  <si>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</si>
  <si>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</si>
  <si>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</si>
  <si>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</si>
  <si>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</si>
  <si>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</si>
  <si>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</si>
  <si>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</si>
  <si>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</si>
  <si>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</si>
  <si>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</si>
  <si>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</si>
  <si>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</si>
  <si>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</si>
  <si>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</si>
  <si>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</si>
  <si>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</si>
  <si>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</si>
  <si>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</si>
  <si>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</si>
  <si>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</si>
  <si>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</si>
  <si>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</si>
  <si>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</si>
  <si>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</si>
  <si>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</si>
  <si>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</si>
  <si>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</si>
  <si>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</si>
  <si>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</si>
  <si>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</si>
  <si>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</si>
  <si>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</si>
  <si>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</si>
  <si>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</si>
  <si>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</si>
  <si>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</si>
  <si>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</si>
  <si>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</si>
  <si>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</si>
  <si>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</si>
  <si>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</si>
  <si>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</si>
  <si>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</si>
  <si>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</si>
  <si>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</si>
  <si>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</si>
  <si>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</si>
  <si>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</si>
  <si>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</si>
  <si>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</si>
  <si>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</si>
  <si>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</si>
  <si>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</si>
  <si>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</si>
  <si>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</si>
  <si>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</si>
  <si>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</si>
  <si>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</si>
  <si>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</si>
  <si>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</si>
  <si>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</si>
  <si>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</si>
  <si>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</si>
  <si>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</si>
  <si>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</si>
  <si>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</si>
  <si>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</si>
  <si>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</si>
  <si>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</si>
  <si>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</si>
  <si>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</si>
  <si>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</si>
  <si>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</si>
  <si>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</si>
  <si>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</si>
  <si>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</si>
  <si>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</si>
  <si>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</si>
  <si>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</si>
  <si>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</si>
  <si>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</si>
  <si>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</si>
  <si>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</si>
  <si>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</si>
  <si>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</si>
  <si>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</si>
  <si>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</si>
  <si>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</si>
  <si>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</si>
  <si>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</si>
  <si>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</si>
  <si>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</si>
  <si>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</si>
  <si>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</si>
  <si>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</si>
  <si>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</si>
  <si>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</si>
  <si>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</si>
  <si>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</si>
  <si>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</si>
  <si>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</si>
  <si>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</si>
  <si>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</si>
  <si>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</si>
  <si>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</si>
  <si>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</si>
  <si>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</si>
  <si>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</si>
  <si>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</si>
  <si>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</si>
  <si>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</si>
  <si>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</si>
  <si>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</si>
  <si>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</si>
  <si>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</si>
  <si>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</si>
  <si>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</si>
  <si>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</si>
  <si>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</si>
  <si>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</si>
  <si>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</si>
  <si>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</si>
  <si>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</si>
  <si>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</si>
  <si>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</si>
  <si>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</si>
  <si>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</si>
  <si>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</si>
  <si>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</si>
  <si>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</si>
  <si>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</si>
  <si>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</si>
  <si>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</si>
  <si>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</si>
  <si>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</si>
  <si>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</si>
  <si>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</si>
  <si>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</si>
  <si>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</si>
  <si>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</si>
  <si>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</si>
  <si>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</si>
  <si>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</si>
  <si>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</si>
  <si>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</si>
  <si>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</si>
  <si>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</si>
  <si>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</si>
  <si>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</si>
  <si>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</si>
  <si>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</si>
  <si>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</si>
  <si>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</si>
  <si>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</si>
  <si>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</si>
  <si>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</si>
  <si>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</si>
  <si>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</si>
  <si>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</si>
  <si>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</si>
  <si>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</si>
  <si>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</si>
  <si>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</si>
  <si>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</si>
  <si>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</si>
  <si>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</si>
  <si>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</si>
  <si>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</si>
  <si>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</si>
  <si>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</si>
  <si>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</si>
  <si>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</si>
  <si>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</si>
  <si>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</si>
  <si>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</si>
  <si>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</si>
  <si>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</si>
  <si>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</si>
  <si>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</si>
  <si>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</si>
  <si>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</si>
  <si>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</si>
  <si>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</si>
  <si>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</si>
  <si>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</si>
  <si>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</si>
  <si>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</si>
  <si>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</si>
  <si>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</si>
  <si>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</si>
  <si>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</si>
  <si>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</si>
  <si>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</si>
  <si>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</si>
  <si>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</si>
  <si>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</si>
  <si>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</si>
  <si>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</si>
  <si>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</si>
  <si>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</si>
  <si>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</si>
  <si>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</si>
  <si>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</si>
  <si>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</si>
  <si>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</si>
  <si>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</si>
  <si>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</si>
  <si>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</si>
  <si>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</si>
  <si>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</si>
  <si>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</si>
  <si>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</si>
  <si>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</si>
  <si>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</si>
  <si>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</si>
  <si>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</si>
  <si>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</si>
  <si>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</si>
  <si>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</si>
  <si>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</si>
  <si>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</si>
  <si>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</si>
  <si>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</si>
  <si>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</si>
  <si>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</si>
  <si>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</si>
  <si>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</si>
  <si>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</si>
  <si>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</si>
  <si>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</si>
  <si>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</si>
  <si>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</si>
  <si>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</si>
  <si>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</si>
  <si>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</si>
  <si>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</si>
  <si>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</si>
  <si>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</si>
  <si>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</si>
  <si>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</si>
  <si>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</si>
  <si>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</si>
  <si>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</si>
  <si>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</si>
  <si>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</si>
  <si>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</si>
  <si>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</si>
  <si>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</si>
  <si>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</si>
  <si>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</si>
  <si>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</si>
  <si>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</si>
  <si>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</si>
  <si>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</si>
  <si>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</si>
  <si>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</si>
  <si>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</si>
  <si>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</si>
  <si>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</si>
  <si>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</si>
  <si>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</si>
  <si>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</si>
  <si>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</si>
  <si>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</si>
  <si>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</si>
  <si>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</si>
  <si>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</si>
  <si>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</si>
  <si>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</si>
  <si>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</si>
  <si>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</si>
  <si>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</si>
  <si>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</si>
  <si>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</si>
  <si>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</si>
  <si>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</si>
  <si>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</si>
  <si>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</si>
  <si>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</si>
  <si>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</si>
  <si>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</si>
  <si>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</si>
  <si>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</si>
  <si>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</si>
  <si>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</si>
  <si>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</si>
  <si>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</si>
  <si>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</si>
  <si>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</si>
  <si>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</si>
  <si>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</si>
  <si>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</si>
  <si>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</si>
  <si>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</si>
  <si>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</si>
  <si>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</si>
  <si>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</si>
  <si>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</si>
  <si>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</si>
  <si>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</si>
  <si>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</si>
  <si>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</si>
  <si>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</si>
  <si>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</si>
  <si>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</si>
  <si>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</si>
  <si>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</si>
  <si>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</si>
  <si>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</si>
  <si>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</si>
  <si>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</si>
  <si>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</si>
  <si>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</si>
  <si>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</si>
  <si>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</si>
  <si>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</si>
  <si>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</si>
  <si>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</si>
  <si>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</si>
  <si>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</si>
  <si>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</si>
  <si>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</si>
  <si>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</si>
  <si>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</si>
  <si>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</si>
  <si>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</si>
  <si>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</si>
  <si>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</si>
  <si>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</si>
  <si>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</si>
  <si>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</si>
  <si>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</si>
  <si>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</si>
  <si>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</si>
  <si>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</si>
  <si>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</si>
  <si>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</si>
  <si>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</si>
  <si>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</si>
  <si>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</si>
  <si>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</si>
  <si>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</si>
  <si>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</si>
  <si>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</si>
  <si>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</si>
  <si>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</si>
  <si>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</si>
  <si>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</si>
  <si>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</si>
  <si>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</si>
  <si>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</si>
  <si>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</si>
  <si>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</si>
  <si>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</si>
  <si>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</si>
  <si>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</si>
  <si>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</si>
  <si>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</si>
  <si>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</si>
  <si>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</si>
  <si>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</si>
  <si>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</si>
  <si>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</si>
  <si>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</si>
  <si>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</si>
  <si>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</si>
  <si>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</si>
  <si>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</si>
  <si>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</si>
  <si>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</si>
  <si>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</si>
  <si>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</si>
  <si>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</si>
  <si>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</si>
  <si>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</si>
  <si>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</si>
  <si>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</si>
  <si>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</si>
  <si>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</si>
  <si>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</si>
  <si>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</si>
  <si>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</si>
  <si>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</si>
  <si>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</si>
  <si>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</si>
  <si>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</si>
  <si>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</si>
  <si>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</si>
  <si>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</si>
  <si>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</si>
  <si>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</si>
  <si>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</si>
  <si>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</si>
  <si>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</si>
  <si>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</si>
  <si>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</si>
  <si>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</si>
  <si>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</si>
  <si>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</si>
  <si>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</si>
  <si>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</si>
  <si>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</si>
  <si>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</si>
  <si>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</si>
  <si>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</si>
  <si>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</si>
  <si>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</si>
  <si>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</si>
  <si>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</si>
  <si>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</si>
  <si>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</si>
  <si>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</si>
  <si>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</si>
  <si>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</si>
  <si>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</si>
  <si>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</si>
  <si>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</si>
  <si>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</si>
  <si>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</si>
  <si>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</si>
  <si>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</si>
  <si>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</si>
  <si>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</si>
  <si>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</si>
  <si>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</si>
  <si>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</si>
  <si>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</si>
  <si>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</si>
  <si>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</si>
  <si>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</si>
  <si>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</si>
  <si>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</si>
  <si>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</si>
  <si>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</si>
  <si>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</si>
  <si>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</si>
  <si>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</si>
  <si>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</si>
  <si>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</si>
  <si>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</si>
  <si>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</si>
  <si>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</si>
  <si>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</si>
  <si>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</si>
  <si>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</si>
  <si>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</si>
  <si>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</si>
  <si>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</si>
  <si>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</si>
  <si>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</si>
  <si>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</si>
  <si>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</si>
  <si>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</si>
  <si>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</si>
  <si>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</si>
  <si>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</si>
  <si>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</si>
  <si>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</si>
  <si>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</si>
  <si>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</si>
  <si>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</si>
  <si>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</si>
  <si>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</si>
  <si>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</si>
  <si>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</si>
  <si>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</si>
  <si>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</si>
  <si>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</si>
  <si>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</si>
  <si>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</si>
  <si>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</si>
  <si>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</si>
  <si>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</si>
  <si>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</si>
  <si>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</si>
  <si>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</si>
  <si>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</si>
  <si>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</si>
  <si>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</si>
  <si>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</si>
  <si>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</si>
  <si>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</si>
  <si>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</si>
  <si>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</si>
  <si>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</si>
  <si>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</si>
  <si>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</si>
  <si>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</si>
  <si>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</si>
  <si>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</si>
  <si>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</si>
  <si>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</si>
  <si>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</si>
  <si>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</si>
  <si>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</si>
  <si>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</si>
  <si>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</si>
  <si>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</si>
  <si>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</si>
  <si>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</si>
  <si>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</si>
  <si>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</si>
  <si>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</si>
  <si>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</si>
  <si>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</si>
  <si>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</si>
  <si>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</si>
  <si>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</si>
  <si>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</si>
  <si>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</si>
  <si>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</si>
  <si>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</si>
  <si>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</si>
  <si>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</si>
  <si>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</si>
  <si>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</si>
  <si>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</si>
  <si>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</si>
  <si>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</si>
  <si>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</si>
  <si>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</si>
  <si>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</si>
  <si>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</si>
  <si>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</si>
  <si>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</si>
  <si>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</si>
  <si>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</si>
  <si>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</si>
  <si>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</si>
  <si>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</si>
  <si>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</si>
  <si>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</si>
  <si>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</si>
  <si>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</si>
  <si>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</si>
  <si>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</si>
  <si>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</si>
  <si>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</si>
  <si>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</si>
  <si>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</si>
  <si>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</si>
  <si>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</si>
  <si>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</si>
  <si>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</si>
  <si>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</si>
  <si>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</si>
  <si>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</si>
  <si>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</si>
  <si>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</si>
  <si>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</si>
  <si>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</si>
  <si>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</si>
  <si>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</si>
  <si>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</si>
  <si>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</si>
  <si>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</si>
  <si>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</si>
  <si>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</si>
  <si>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</si>
  <si>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</si>
  <si>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</si>
  <si>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</si>
  <si>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</si>
  <si>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</si>
  <si>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</si>
  <si>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</si>
  <si>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</si>
  <si>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</si>
  <si>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</si>
  <si>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</si>
  <si>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</si>
  <si>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</si>
  <si>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</si>
  <si>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</si>
  <si>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</si>
  <si>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</si>
  <si>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</si>
  <si>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</si>
  <si>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</si>
  <si>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</si>
  <si>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</si>
  <si>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</si>
  <si>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</si>
  <si>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</si>
  <si>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</si>
  <si>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</si>
  <si>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</si>
  <si>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</si>
  <si>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</si>
  <si>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</si>
  <si>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</si>
  <si>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</si>
  <si>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</si>
  <si>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</si>
  <si>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</si>
  <si>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</si>
  <si>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</si>
  <si>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</si>
  <si>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</si>
  <si>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</si>
  <si>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</si>
  <si>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</si>
  <si>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</si>
  <si>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</si>
  <si>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</si>
  <si>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</si>
  <si>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</si>
  <si>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</si>
  <si>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</si>
  <si>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</si>
  <si>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</si>
  <si>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</si>
  <si>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</si>
  <si>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</si>
  <si>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</si>
  <si>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</si>
  <si>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</si>
  <si>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</si>
  <si>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</si>
  <si>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</si>
  <si>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</si>
  <si>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</si>
  <si>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</si>
  <si>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</si>
  <si>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</si>
  <si>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</si>
  <si>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</si>
  <si>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</si>
  <si>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</si>
  <si>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</si>
  <si>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</si>
  <si>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</si>
  <si>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</si>
  <si>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</si>
  <si>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</si>
  <si>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</si>
  <si>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</si>
  <si>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</si>
  <si>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</si>
  <si>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</si>
  <si>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</si>
  <si>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</si>
  <si>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</si>
  <si>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</si>
  <si>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</si>
  <si>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</si>
  <si>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</si>
  <si>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</si>
  <si>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</si>
  <si>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</si>
  <si>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</si>
  <si>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</si>
  <si>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</si>
  <si>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</si>
  <si>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</si>
  <si>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</si>
  <si>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</si>
  <si>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</si>
  <si>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</si>
  <si>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</si>
  <si>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</si>
  <si>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</si>
  <si>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</si>
  <si>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</si>
  <si>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</si>
  <si>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</si>
  <si>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</si>
  <si>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</si>
  <si>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</si>
  <si>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</si>
  <si>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</si>
  <si>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</si>
  <si>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</si>
  <si>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</si>
  <si>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</si>
  <si>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</si>
  <si>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</si>
  <si>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</si>
  <si>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</si>
  <si>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</si>
  <si>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</si>
  <si>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</si>
  <si>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</si>
  <si>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</si>
  <si>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</si>
  <si>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</si>
  <si>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</si>
  <si>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</si>
  <si>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</si>
  <si>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</si>
  <si>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</si>
  <si>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</si>
  <si>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</si>
  <si>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</si>
  <si>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</si>
  <si>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</si>
  <si>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</si>
  <si>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</si>
  <si>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</si>
  <si>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</si>
  <si>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</si>
  <si>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</si>
  <si>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</si>
  <si>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</si>
  <si>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</si>
  <si>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</si>
  <si>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</si>
  <si>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</si>
  <si>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</si>
  <si>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</si>
  <si>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</si>
  <si>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</si>
  <si>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</si>
  <si>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</si>
  <si>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</si>
  <si>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</si>
  <si>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</si>
  <si>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</si>
  <si>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</si>
  <si>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</si>
  <si>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</si>
  <si>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</si>
  <si>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</si>
  <si>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</si>
  <si>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</si>
  <si>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</si>
  <si>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</si>
  <si>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</si>
  <si>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</si>
  <si>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</si>
  <si>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</si>
  <si>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</si>
  <si>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</si>
  <si>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</si>
  <si>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</si>
  <si>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</si>
  <si>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</si>
  <si>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</si>
  <si>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</si>
  <si>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</si>
  <si>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</si>
  <si>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</si>
  <si>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</si>
  <si>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</si>
  <si>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</si>
  <si>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</si>
  <si>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</si>
  <si>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</si>
  <si>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</si>
  <si>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</si>
  <si>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</si>
  <si>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</si>
  <si>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</si>
  <si>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</si>
  <si>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</si>
  <si>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</si>
  <si>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</si>
  <si>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</si>
  <si>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</si>
  <si>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</si>
  <si>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</si>
  <si>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</si>
  <si>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</si>
  <si>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</si>
  <si>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</si>
  <si>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</si>
  <si>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</si>
  <si>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</si>
  <si>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</si>
  <si>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</si>
  <si>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</si>
  <si>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</si>
  <si>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</si>
  <si>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</si>
  <si>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</si>
  <si>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</si>
  <si>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</si>
  <si>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</si>
  <si>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</si>
  <si>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</si>
  <si>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</si>
  <si>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</si>
  <si>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</si>
  <si>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</si>
  <si>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</si>
  <si>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</si>
  <si>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</si>
  <si>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</si>
  <si>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</si>
  <si>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</si>
  <si>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</si>
  <si>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</si>
  <si>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</si>
  <si>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</si>
  <si>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</si>
  <si>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</si>
  <si>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</si>
  <si>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</si>
  <si>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</si>
  <si>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</si>
  <si>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</si>
  <si>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</si>
  <si>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</si>
  <si>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</si>
  <si>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</si>
  <si>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</si>
  <si>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</si>
  <si>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</si>
  <si>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</si>
  <si>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</si>
  <si>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</si>
  <si>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</si>
  <si>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</si>
  <si>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</si>
  <si>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</si>
  <si>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</si>
  <si>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</si>
  <si>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</si>
  <si>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</si>
  <si>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</si>
  <si>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</si>
  <si>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</si>
  <si>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</si>
  <si>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</si>
  <si>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</si>
  <si>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</si>
  <si>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</si>
  <si>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</si>
  <si>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</si>
  <si>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</si>
  <si>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</si>
  <si>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</si>
  <si>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</si>
  <si>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</si>
  <si>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</si>
  <si>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</si>
  <si>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</si>
  <si>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</si>
  <si>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</si>
  <si>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</si>
  <si>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</si>
  <si>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</si>
  <si>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</si>
  <si>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</si>
  <si>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</si>
  <si>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</si>
  <si>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</si>
  <si>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</si>
  <si>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</si>
  <si>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</si>
  <si>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</si>
  <si>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</si>
  <si>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</si>
  <si>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</si>
  <si>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</si>
  <si>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</si>
  <si>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</si>
  <si>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</si>
  <si>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</si>
  <si>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</si>
  <si>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</si>
  <si>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</si>
  <si>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</si>
  <si>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</si>
  <si>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</si>
  <si>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</si>
  <si>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</si>
  <si>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</si>
  <si>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</si>
  <si>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</si>
  <si>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</si>
  <si>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</si>
  <si>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</si>
  <si>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</si>
  <si>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</si>
  <si>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</si>
  <si>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</si>
  <si>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</si>
  <si>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</si>
  <si>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</si>
  <si>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</si>
  <si>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</si>
  <si>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</si>
  <si>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</si>
  <si>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</si>
  <si>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</si>
  <si>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</si>
  <si>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</si>
  <si>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</si>
  <si>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</si>
  <si>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</si>
  <si>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</si>
  <si>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</si>
  <si>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</si>
  <si>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</si>
  <si>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</si>
  <si>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</si>
  <si>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</si>
  <si>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</si>
  <si>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</si>
  <si>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</si>
  <si>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</si>
  <si>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</si>
  <si>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</si>
  <si>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</si>
  <si>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</si>
  <si>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</si>
  <si>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</si>
  <si>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</si>
  <si>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</si>
  <si>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</si>
  <si>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</si>
  <si>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</si>
  <si>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</si>
  <si>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</si>
  <si>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</si>
  <si>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</si>
  <si>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</si>
  <si>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</si>
  <si>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</si>
  <si>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</si>
  <si>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</si>
  <si>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</si>
  <si>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</si>
  <si>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</si>
  <si>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</si>
  <si>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</si>
  <si>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</si>
  <si>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</si>
  <si>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</si>
  <si>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</si>
  <si>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</si>
  <si>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</si>
  <si>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</si>
  <si>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</si>
  <si>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</si>
  <si>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</si>
  <si>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</si>
  <si>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</si>
  <si>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</si>
  <si>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</si>
  <si>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</si>
  <si>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</si>
  <si>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</si>
  <si>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</si>
  <si>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</si>
  <si>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</si>
  <si>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</si>
  <si>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</si>
  <si>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</si>
  <si>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</si>
  <si>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</si>
  <si>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</si>
  <si>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</si>
  <si>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</si>
  <si>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</si>
  <si>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</si>
  <si>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</si>
  <si>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</si>
  <si>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</si>
  <si>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</si>
  <si>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</si>
  <si>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</si>
  <si>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</si>
  <si>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</si>
  <si>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</si>
  <si>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</si>
  <si>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</si>
  <si>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</si>
  <si>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</si>
  <si>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</si>
  <si>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</si>
  <si>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</si>
  <si>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</si>
  <si>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</si>
  <si>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</si>
  <si>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</si>
  <si>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</si>
  <si>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</si>
  <si>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</si>
  <si>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</si>
  <si>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</si>
  <si>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</si>
  <si>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</si>
  <si>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</si>
  <si>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</si>
  <si>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</si>
  <si>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</si>
  <si>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</si>
  <si>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</si>
  <si>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</si>
  <si>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</si>
  <si>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</si>
  <si>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</si>
  <si>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</si>
  <si>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</si>
  <si>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</si>
  <si>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</si>
  <si>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</si>
  <si>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</si>
  <si>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</si>
  <si>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</si>
  <si>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</si>
  <si>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</si>
  <si>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</si>
  <si>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</si>
  <si>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</si>
  <si>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</si>
  <si>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</si>
  <si>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</si>
  <si>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</si>
  <si>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</si>
  <si>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</si>
  <si>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</si>
  <si>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</si>
  <si>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</si>
  <si>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</si>
  <si>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</si>
  <si>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</si>
  <si>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</si>
  <si>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</si>
  <si>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</si>
  <si>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</si>
  <si>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</si>
  <si>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</si>
  <si>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</si>
  <si>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</si>
  <si>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</si>
  <si>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</si>
  <si>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</si>
  <si>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</si>
  <si>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</si>
  <si>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</si>
  <si>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</si>
  <si>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</si>
  <si>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</si>
  <si>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</si>
  <si>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</si>
  <si>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</si>
  <si>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</si>
  <si>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</si>
  <si>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</si>
  <si>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</si>
  <si>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</si>
  <si>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</si>
  <si>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</si>
  <si>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</si>
  <si>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</si>
  <si>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</si>
  <si>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</si>
  <si>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</si>
  <si>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</si>
  <si>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</si>
  <si>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</si>
  <si>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</si>
  <si>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</si>
  <si>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</si>
  <si>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</si>
  <si>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</si>
  <si>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</si>
  <si>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</si>
  <si>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</si>
  <si>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</si>
  <si>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</si>
  <si>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</si>
  <si>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</si>
  <si>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</si>
  <si>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</si>
  <si>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</si>
  <si>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</si>
  <si>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</si>
  <si>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</si>
  <si>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</si>
  <si>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</si>
  <si>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</si>
  <si>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</si>
  <si>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</si>
  <si>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</si>
  <si>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</si>
  <si>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</si>
  <si>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</si>
  <si>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</si>
  <si>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</si>
  <si>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</si>
  <si>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</si>
  <si>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</si>
  <si>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</si>
  <si>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</si>
  <si>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</si>
  <si>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</si>
  <si>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</si>
  <si>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</si>
  <si>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</si>
  <si>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</si>
  <si>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</si>
  <si>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</si>
  <si>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</si>
  <si>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</si>
  <si>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</si>
  <si>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</si>
  <si>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</si>
  <si>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</si>
  <si>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</si>
  <si>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</si>
  <si>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</si>
  <si>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</si>
  <si>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</si>
  <si>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</si>
  <si>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</si>
  <si>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</si>
  <si>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</si>
  <si>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</si>
  <si>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</si>
  <si>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</si>
  <si>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</si>
  <si>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</si>
  <si>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</si>
  <si>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</si>
  <si>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</si>
  <si>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</si>
  <si>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</si>
  <si>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</si>
  <si>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</si>
  <si>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</si>
  <si>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</si>
  <si>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</si>
  <si>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</si>
  <si>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</si>
  <si>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</si>
  <si>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</si>
  <si>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</si>
  <si>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</si>
  <si>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</si>
  <si>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</si>
  <si>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</si>
  <si>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</si>
  <si>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</si>
  <si>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</si>
  <si>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</si>
  <si>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</si>
  <si>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</si>
  <si>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</si>
  <si>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</si>
  <si>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</si>
  <si>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</si>
  <si>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</si>
  <si>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</si>
  <si>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</si>
  <si>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</si>
  <si>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</si>
  <si>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</si>
  <si>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</si>
  <si>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</si>
  <si>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</si>
  <si>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</si>
  <si>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</si>
  <si>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</si>
  <si>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</si>
  <si>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</si>
  <si>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</si>
  <si>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</si>
  <si>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</si>
  <si>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</si>
  <si>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</si>
  <si>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</si>
  <si>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</si>
  <si>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</si>
  <si>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</si>
  <si>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</si>
  <si>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</si>
  <si>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</si>
  <si>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</si>
  <si>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</si>
  <si>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</si>
  <si>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</si>
  <si>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</si>
  <si>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</si>
  <si>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</si>
  <si>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</si>
  <si>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</si>
  <si>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</si>
  <si>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</si>
  <si>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</si>
  <si>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</si>
  <si>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</si>
  <si>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</si>
  <si>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</si>
  <si>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</si>
  <si>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</si>
  <si>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</si>
  <si>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</si>
  <si>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</si>
  <si>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</si>
  <si>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</si>
  <si>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</si>
  <si>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</si>
  <si>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</si>
  <si>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</si>
  <si>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</si>
  <si>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</si>
  <si>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</si>
  <si>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</si>
  <si>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</si>
  <si>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</si>
  <si>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</si>
  <si>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</si>
  <si>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</si>
  <si>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</si>
  <si>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</si>
  <si>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</si>
  <si>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</si>
  <si>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</si>
  <si>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</si>
  <si>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</si>
  <si>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</si>
  <si>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</si>
  <si>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</si>
  <si>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</si>
  <si>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</si>
  <si>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</si>
  <si>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</si>
  <si>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</si>
  <si>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</si>
  <si>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</si>
  <si>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</si>
  <si>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</si>
  <si>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</si>
  <si>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</si>
  <si>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</si>
  <si>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</si>
  <si>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</si>
  <si>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</si>
  <si>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</si>
  <si>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</si>
  <si>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</si>
  <si>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</si>
  <si>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</si>
  <si>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</si>
  <si>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</si>
  <si>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</si>
  <si>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</si>
  <si>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</si>
  <si>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</si>
  <si>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</si>
  <si>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</si>
  <si>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</si>
  <si>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</si>
  <si>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</si>
  <si>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</si>
  <si>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</si>
  <si>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</si>
  <si>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</si>
  <si>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</si>
  <si>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</si>
  <si>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</si>
  <si>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</si>
  <si>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</si>
  <si>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</si>
  <si>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</si>
  <si>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</si>
  <si>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</si>
  <si>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</si>
  <si>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</si>
  <si>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</si>
  <si>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</si>
  <si>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</si>
  <si>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</si>
  <si>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</si>
  <si>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</si>
  <si>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</si>
  <si>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</si>
  <si>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</si>
  <si>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</si>
  <si>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</si>
  <si>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</si>
  <si>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</si>
  <si>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</si>
  <si>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</si>
  <si>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</si>
  <si>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</si>
  <si>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</si>
  <si>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</si>
  <si>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</si>
  <si>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</si>
  <si>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</si>
  <si>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</si>
  <si>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</si>
  <si>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</si>
  <si>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</si>
  <si>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</si>
  <si>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</si>
  <si>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</si>
  <si>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</si>
  <si>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</si>
  <si>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</si>
  <si>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</si>
  <si>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</si>
  <si>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</si>
  <si>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</si>
  <si>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</si>
  <si>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</si>
  <si>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</si>
  <si>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</si>
  <si>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</si>
  <si>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</si>
  <si>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</si>
  <si>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</si>
  <si>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</si>
  <si>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</si>
  <si>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</si>
  <si>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</si>
  <si>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</si>
  <si>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</si>
  <si>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</si>
  <si>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</si>
  <si>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</si>
  <si>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</si>
  <si>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</si>
  <si>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</si>
  <si>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</si>
  <si>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</si>
  <si>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</si>
  <si>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</si>
  <si>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</si>
  <si>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</si>
  <si>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</si>
  <si>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</si>
  <si>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</si>
  <si>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</si>
  <si>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</si>
  <si>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</si>
  <si>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</si>
  <si>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</si>
  <si>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</si>
  <si>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</si>
  <si>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</si>
  <si>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</si>
  <si>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</si>
  <si>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</si>
  <si>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</si>
  <si>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</si>
  <si>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</si>
  <si>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</si>
  <si>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</si>
  <si>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</si>
  <si>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</si>
  <si>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</si>
  <si>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</si>
  <si>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</si>
  <si>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</si>
  <si>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</si>
  <si>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</si>
  <si>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</si>
  <si>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</si>
  <si>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</si>
  <si>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</si>
  <si>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</si>
  <si>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</si>
  <si>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</si>
  <si>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</si>
  <si>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</si>
  <si>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</si>
  <si>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</si>
  <si>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</si>
  <si>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</si>
  <si>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</si>
  <si>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</si>
  <si>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</si>
  <si>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</si>
  <si>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</si>
  <si>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</si>
  <si>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</si>
  <si>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</si>
  <si>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</si>
  <si>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</si>
  <si>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</si>
  <si>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</si>
  <si>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</si>
  <si>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</si>
  <si>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</si>
  <si>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</si>
  <si>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</si>
  <si>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</si>
  <si>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</si>
  <si>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</si>
  <si>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</si>
  <si>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</si>
  <si>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</si>
  <si>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</si>
  <si>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</si>
  <si>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</si>
  <si>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</si>
  <si>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</si>
  <si>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</si>
  <si>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</si>
  <si>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</si>
  <si>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</si>
  <si>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</si>
  <si>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</si>
  <si>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</si>
  <si>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</si>
  <si>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</si>
  <si>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</si>
  <si>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</si>
  <si>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</si>
  <si>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</si>
  <si>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</si>
  <si>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</si>
  <si>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</si>
  <si>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</si>
  <si>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</si>
  <si>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</si>
  <si>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</si>
  <si>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</si>
  <si>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</si>
  <si>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</si>
  <si>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</si>
  <si>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</si>
  <si>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</si>
  <si>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</si>
  <si>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</si>
  <si>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</si>
  <si>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</si>
  <si>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</si>
  <si>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</si>
  <si>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</si>
  <si>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</si>
  <si>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</si>
  <si>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</si>
  <si>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</si>
  <si>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</si>
  <si>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</si>
  <si>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</si>
  <si>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</si>
  <si>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</si>
  <si>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</si>
  <si>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</si>
  <si>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</si>
  <si>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</si>
  <si>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</si>
  <si>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</si>
  <si>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</si>
  <si>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</si>
  <si>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</si>
  <si>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</si>
  <si>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</si>
  <si>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</si>
  <si>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</si>
  <si>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</si>
  <si>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</si>
  <si>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</si>
  <si>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</si>
  <si>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</si>
  <si>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</si>
  <si>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</si>
  <si>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</si>
  <si>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</si>
  <si>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</si>
  <si>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</si>
  <si>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</si>
  <si>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</si>
  <si>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</si>
  <si>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</si>
  <si>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</si>
  <si>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</si>
  <si>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</si>
  <si>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</si>
  <si>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</si>
  <si>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</si>
  <si>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</si>
  <si>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</si>
  <si>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</si>
  <si>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</si>
  <si>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</si>
  <si>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</si>
  <si>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</si>
  <si>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</si>
  <si>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</si>
  <si>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</si>
  <si>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</si>
  <si>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</si>
  <si>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</si>
  <si>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</si>
  <si>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</si>
  <si>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</si>
  <si>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</si>
  <si>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</si>
  <si>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</si>
  <si>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</si>
  <si>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</si>
  <si>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</si>
  <si>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</si>
  <si>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</si>
  <si>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</si>
  <si>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</si>
  <si>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</si>
  <si>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</si>
  <si>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</si>
  <si>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</si>
  <si>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</si>
  <si>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</si>
  <si>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</si>
  <si>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</si>
  <si>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</si>
  <si>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</si>
  <si>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</si>
  <si>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</si>
  <si>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</si>
  <si>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</si>
  <si>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</si>
  <si>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</si>
  <si>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</si>
  <si>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</si>
  <si>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</si>
  <si>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</si>
  <si>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</si>
  <si>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</si>
  <si>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</si>
  <si>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</si>
  <si>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</si>
  <si>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</si>
  <si>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</si>
  <si>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</si>
  <si>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</si>
  <si>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</si>
  <si>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</si>
  <si>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</si>
  <si>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</si>
  <si>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</si>
  <si>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</si>
  <si>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</si>
  <si>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</si>
  <si>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</si>
  <si>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</si>
  <si>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</si>
  <si>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</si>
  <si>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</si>
  <si>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</si>
  <si>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</si>
  <si>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</si>
  <si>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</si>
  <si>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</si>
  <si>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</si>
  <si>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</si>
  <si>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</si>
  <si>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</si>
  <si>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</si>
  <si>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</si>
  <si>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</si>
  <si>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</si>
  <si>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</si>
  <si>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</si>
  <si>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</si>
  <si>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</si>
  <si>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</si>
  <si>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</si>
  <si>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</si>
  <si>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</si>
  <si>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</si>
  <si>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</si>
  <si>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</si>
  <si>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</si>
  <si>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</si>
  <si>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</si>
  <si>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</si>
  <si>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</si>
  <si>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</si>
  <si>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</si>
  <si>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</si>
  <si>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</si>
  <si>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</si>
  <si>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</si>
  <si>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</si>
  <si>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</si>
  <si>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</si>
  <si>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</si>
  <si>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</si>
  <si>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</si>
  <si>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</si>
  <si>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</si>
  <si>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</si>
  <si>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</si>
  <si>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</si>
  <si>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</si>
  <si>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</si>
  <si>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</si>
  <si>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</si>
  <si>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</si>
  <si>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</si>
  <si>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</si>
  <si>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</si>
  <si>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</si>
  <si>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</si>
  <si>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</si>
  <si>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</si>
  <si>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</si>
  <si>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</si>
  <si>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</si>
  <si>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</si>
  <si>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</si>
  <si>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</si>
  <si>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</si>
  <si>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</si>
  <si>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</si>
  <si>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</si>
  <si>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</si>
  <si>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</si>
  <si>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</si>
  <si>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</si>
  <si>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</si>
  <si>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</si>
  <si>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</si>
  <si>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</si>
  <si>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</si>
  <si>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</si>
  <si>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</si>
  <si>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</si>
  <si>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</si>
  <si>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</si>
  <si>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</si>
  <si>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</si>
  <si>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</si>
  <si>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</si>
  <si>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</si>
  <si>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</si>
  <si>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</si>
  <si>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</si>
  <si>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</si>
  <si>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</si>
  <si>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</si>
  <si>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</si>
  <si>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</si>
  <si>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</si>
  <si>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</si>
  <si>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</si>
  <si>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</si>
  <si>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</si>
  <si>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</si>
  <si>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</si>
  <si>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</si>
  <si>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</si>
  <si>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</si>
  <si>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</si>
  <si>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</si>
  <si>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</si>
  <si>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</si>
  <si>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</si>
  <si>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</si>
  <si>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</si>
  <si>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</si>
  <si>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</si>
  <si>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</si>
  <si>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</si>
  <si>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</si>
  <si>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</si>
  <si>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</si>
  <si>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</si>
  <si>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</si>
  <si>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</si>
  <si>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</si>
  <si>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</si>
  <si>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</si>
  <si>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</si>
  <si>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</si>
  <si>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</si>
  <si>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</si>
  <si>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</si>
  <si>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</si>
  <si>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</si>
  <si>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</si>
  <si>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</si>
  <si>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</si>
  <si>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</si>
  <si>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</si>
  <si>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</si>
  <si>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</si>
  <si>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</si>
  <si>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</si>
  <si>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</si>
  <si>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</si>
  <si>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</si>
  <si>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</si>
  <si>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</si>
  <si>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</si>
  <si>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</si>
  <si>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</si>
  <si>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</si>
  <si>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</si>
  <si>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</si>
  <si>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</si>
  <si>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</si>
  <si>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</si>
  <si>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</si>
  <si>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</si>
  <si>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</si>
  <si>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</si>
  <si>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</si>
  <si>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</si>
  <si>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</si>
  <si>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</si>
  <si>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</si>
  <si>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</si>
  <si>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</si>
  <si>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</si>
  <si>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</si>
  <si>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</si>
  <si>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</si>
  <si>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</si>
  <si>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</si>
  <si>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</si>
  <si>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</si>
  <si>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</si>
  <si>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</si>
  <si>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</si>
  <si>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</si>
  <si>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</si>
  <si>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</si>
  <si>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</si>
  <si>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</si>
  <si>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</si>
  <si>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</si>
  <si>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</si>
  <si>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</si>
  <si>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</si>
  <si>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</si>
  <si>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</si>
  <si>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</si>
  <si>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</si>
  <si>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</si>
  <si>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</si>
  <si>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</si>
  <si>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</si>
  <si>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</si>
  <si>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</si>
  <si>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</si>
  <si>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</si>
  <si>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</si>
  <si>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</si>
  <si>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</si>
  <si>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</si>
  <si>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</si>
  <si>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</si>
  <si>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</si>
  <si>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</si>
  <si>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</si>
  <si>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</si>
  <si>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</si>
  <si>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</si>
  <si>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</si>
  <si>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</si>
  <si>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</si>
  <si>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</si>
  <si>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</si>
  <si>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</si>
  <si>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</si>
  <si>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</si>
  <si>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</si>
  <si>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</si>
  <si>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</si>
  <si>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</si>
  <si>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</si>
  <si>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</si>
  <si>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</si>
  <si>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</si>
  <si>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</si>
  <si>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</si>
  <si>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</si>
  <si>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</si>
  <si>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</si>
  <si>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</si>
  <si>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</si>
  <si>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</si>
  <si>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</si>
  <si>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</si>
  <si>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</si>
  <si>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</si>
  <si>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</si>
  <si>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</si>
  <si>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</si>
  <si>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</si>
  <si>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</si>
  <si>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</si>
  <si>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</si>
  <si>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</si>
  <si>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</si>
  <si>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</si>
  <si>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</si>
  <si>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</si>
  <si>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</si>
  <si>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</si>
  <si>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</si>
  <si>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</si>
  <si>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</si>
  <si>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</si>
  <si>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</si>
  <si>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</si>
  <si>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</si>
  <si>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</si>
  <si>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</si>
  <si>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</si>
  <si>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</si>
  <si>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</si>
  <si>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</si>
  <si>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</si>
  <si>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</si>
  <si>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</si>
  <si>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</si>
  <si>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</si>
  <si>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</si>
  <si>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</si>
  <si>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</si>
  <si>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</si>
  <si>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</si>
  <si>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</si>
  <si>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</si>
  <si>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</si>
  <si>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</si>
  <si>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</si>
  <si>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</si>
  <si>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</si>
  <si>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</si>
  <si>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</si>
  <si>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</si>
  <si>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</si>
  <si>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</si>
  <si>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</si>
  <si>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</si>
  <si>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</si>
  <si>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</si>
  <si>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</si>
  <si>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</si>
  <si>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</si>
  <si>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</si>
  <si>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</si>
  <si>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</si>
  <si>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</si>
  <si>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</si>
  <si>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</si>
  <si>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</si>
  <si>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</si>
  <si>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</si>
  <si>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</si>
  <si>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</si>
  <si>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</si>
  <si>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</si>
  <si>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</si>
  <si>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</si>
  <si>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</si>
  <si>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</si>
  <si>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</si>
  <si>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</si>
  <si>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</si>
  <si>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</si>
  <si>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</si>
  <si>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</si>
  <si>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</si>
  <si>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</si>
  <si>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</si>
  <si>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</si>
  <si>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</si>
  <si>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</si>
  <si>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</si>
  <si>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</si>
  <si>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</si>
  <si>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</si>
  <si>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</si>
  <si>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</si>
  <si>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</si>
  <si>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</si>
  <si>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</si>
  <si>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</si>
  <si>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</si>
  <si>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</si>
  <si>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</si>
  <si>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</si>
  <si>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</si>
  <si>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</si>
  <si>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</si>
  <si>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</si>
  <si>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</si>
  <si>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</si>
  <si>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</si>
  <si>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</si>
  <si>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</si>
  <si>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</si>
  <si>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</si>
  <si>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</si>
  <si>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</si>
  <si>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</si>
  <si>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</si>
  <si>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</si>
  <si>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</si>
  <si>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</si>
  <si>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</si>
  <si>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</si>
  <si>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</si>
  <si>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</si>
  <si>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</si>
  <si>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</si>
  <si>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</si>
  <si>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</si>
  <si>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</si>
  <si>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</si>
  <si>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</si>
  <si>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</si>
  <si>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</si>
  <si>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</si>
  <si>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</si>
  <si>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</si>
  <si>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</si>
  <si>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</si>
  <si>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</si>
  <si>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</si>
  <si>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</si>
  <si>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</si>
  <si>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</si>
  <si>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</si>
  <si>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</si>
  <si>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</si>
  <si>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</si>
  <si>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</si>
  <si>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</si>
  <si>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</si>
  <si>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</si>
  <si>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</si>
  <si>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</si>
  <si>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</si>
  <si>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</si>
  <si>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</si>
  <si>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</si>
  <si>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</si>
  <si>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</si>
  <si>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</si>
  <si>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</si>
  <si>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</si>
  <si>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</si>
  <si>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</si>
  <si>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</si>
  <si>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</si>
  <si>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</si>
  <si>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</si>
  <si>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</si>
  <si>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</si>
  <si>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</si>
  <si>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</si>
  <si>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</si>
  <si>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</si>
  <si>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</si>
  <si>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</si>
  <si>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</si>
  <si>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</si>
  <si>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</si>
  <si>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</si>
  <si>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</si>
  <si>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</si>
  <si>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</si>
  <si>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</si>
  <si>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</si>
  <si>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</si>
  <si>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</si>
  <si>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</si>
  <si>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</si>
  <si>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</si>
  <si>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</si>
  <si>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</si>
  <si>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</si>
  <si>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</si>
  <si>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</si>
  <si>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</si>
  <si>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</si>
  <si>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</si>
  <si>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</si>
  <si>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</si>
  <si>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</si>
  <si>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</si>
  <si>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</si>
  <si>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</si>
  <si>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</si>
  <si>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</si>
  <si>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</si>
  <si>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</si>
  <si>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</si>
  <si>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</si>
  <si>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</si>
  <si>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</si>
  <si>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</si>
  <si>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</si>
  <si>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</si>
  <si>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</si>
  <si>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</si>
  <si>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</si>
  <si>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</si>
  <si>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</si>
  <si>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</si>
  <si>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</si>
  <si>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</si>
  <si>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</si>
  <si>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</si>
  <si>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</si>
  <si>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</si>
  <si>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</si>
  <si>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</si>
  <si>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</si>
  <si>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</si>
  <si>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</si>
  <si>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</si>
  <si>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</si>
  <si>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</si>
  <si>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</si>
  <si>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</si>
  <si>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</si>
  <si>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</si>
  <si>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</si>
  <si>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</si>
  <si>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</si>
  <si>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</si>
  <si>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</si>
  <si>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</si>
  <si>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</si>
  <si>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</si>
  <si>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</si>
  <si>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</si>
  <si>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</si>
  <si>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</si>
  <si>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</si>
  <si>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</si>
  <si>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</si>
  <si>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</si>
  <si>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</si>
  <si>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</si>
  <si>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</si>
  <si>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</si>
  <si>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</si>
  <si>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</si>
  <si>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</si>
  <si>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</si>
  <si>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</si>
  <si>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</si>
  <si>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</si>
  <si>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</si>
  <si>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</si>
  <si>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</si>
  <si>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</si>
  <si>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</si>
  <si>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</si>
  <si>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</si>
  <si>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</si>
  <si>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</si>
  <si>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</si>
  <si>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</si>
  <si>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</si>
  <si>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</si>
  <si>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</si>
  <si>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</si>
  <si>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</si>
  <si>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</si>
  <si>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</si>
  <si>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</si>
  <si>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</si>
  <si>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</si>
  <si>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</si>
  <si>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</si>
  <si>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</si>
  <si>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</si>
  <si>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</si>
  <si>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</si>
  <si>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</si>
  <si>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</si>
  <si>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</si>
  <si>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</si>
  <si>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</si>
  <si>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</si>
  <si>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</si>
  <si>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</si>
  <si>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</si>
  <si>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</si>
  <si>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</si>
  <si>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</si>
  <si>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</si>
  <si>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</si>
  <si>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</si>
  <si>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</si>
  <si>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</si>
  <si>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</si>
  <si>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</si>
  <si>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</si>
  <si>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</si>
  <si>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</si>
  <si>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</si>
  <si>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</si>
  <si>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</si>
  <si>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</si>
  <si>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</si>
  <si>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</si>
  <si>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</si>
  <si>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</si>
  <si>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</si>
  <si>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</si>
  <si>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</si>
  <si>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</si>
  <si>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</si>
  <si>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</si>
  <si>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</si>
  <si>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</si>
  <si>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</si>
  <si>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</si>
  <si>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</si>
  <si>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</si>
  <si>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</si>
  <si>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</si>
  <si>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</si>
  <si>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</si>
  <si>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</si>
  <si>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</si>
  <si>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</si>
  <si>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</si>
  <si>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</si>
  <si>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</si>
  <si>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</si>
  <si>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</si>
  <si>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</si>
  <si>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</si>
  <si>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</si>
  <si>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</si>
  <si>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</si>
  <si>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</si>
  <si>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</si>
  <si>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</si>
  <si>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</si>
  <si>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</si>
  <si>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</si>
  <si>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</si>
  <si>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</si>
  <si>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</si>
  <si>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</si>
  <si>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</si>
  <si>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</si>
  <si>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</si>
  <si>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</si>
  <si>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</si>
  <si>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</si>
  <si>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</si>
  <si>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</si>
  <si>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</si>
  <si>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</si>
  <si>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</si>
  <si>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</si>
  <si>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</si>
  <si>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</si>
  <si>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</si>
  <si>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</si>
  <si>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</si>
  <si>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</si>
  <si>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</si>
  <si>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</si>
  <si>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</si>
  <si>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</si>
  <si>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</si>
  <si>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</si>
  <si>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</si>
  <si>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</si>
  <si>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</si>
  <si>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</si>
  <si>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</si>
  <si>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</si>
  <si>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</si>
  <si>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</si>
  <si>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</si>
  <si>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</si>
  <si>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</si>
  <si>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</si>
  <si>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</si>
  <si>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</si>
  <si>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</si>
  <si>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</si>
  <si>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</si>
  <si>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</si>
  <si>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</si>
  <si>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</si>
  <si>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</si>
  <si>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</si>
  <si>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</si>
  <si>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</si>
  <si>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</si>
  <si>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</si>
  <si>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</si>
  <si>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</si>
  <si>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</si>
  <si>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</si>
  <si>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</si>
  <si>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</si>
  <si>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</si>
  <si>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</si>
  <si>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</si>
  <si>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</si>
  <si>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</si>
  <si>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</si>
  <si>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</si>
  <si>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</si>
  <si>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</si>
  <si>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</si>
  <si>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</si>
  <si>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</si>
  <si>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</si>
  <si>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</si>
  <si>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</si>
  <si>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</si>
  <si>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</si>
  <si>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</si>
  <si>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</si>
  <si>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</si>
  <si>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</si>
  <si>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</si>
  <si>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</si>
  <si>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</si>
  <si>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</si>
  <si>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</si>
  <si>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</si>
  <si>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</si>
  <si>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</si>
  <si>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</si>
  <si>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</si>
  <si>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</si>
  <si>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</si>
  <si>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</si>
  <si>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</si>
  <si>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</si>
  <si>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</si>
  <si>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</si>
  <si>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</si>
  <si>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</si>
  <si>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</si>
  <si>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</si>
  <si>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</si>
  <si>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</si>
  <si>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</si>
  <si>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</si>
  <si>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</si>
  <si>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</si>
  <si>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</si>
  <si>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</si>
  <si>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</si>
  <si>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</si>
  <si>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</si>
  <si>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</si>
  <si>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</si>
  <si>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</si>
  <si>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</si>
  <si>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</si>
  <si>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</si>
  <si>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</si>
  <si>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</si>
  <si>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</si>
  <si>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</si>
  <si>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</si>
  <si>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</si>
  <si>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</si>
  <si>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</si>
  <si>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</si>
  <si>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</si>
  <si>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</si>
  <si>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</si>
  <si>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</si>
  <si>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</si>
  <si>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</si>
  <si>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</si>
  <si>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</si>
  <si>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</si>
  <si>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</si>
  <si>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</si>
  <si>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</si>
  <si>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</si>
  <si>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</si>
  <si>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</si>
  <si>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</si>
  <si>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</si>
  <si>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</si>
  <si>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</si>
  <si>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</si>
  <si>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</si>
  <si>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</si>
  <si>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</si>
  <si>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</si>
  <si>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</si>
  <si>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</si>
  <si>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</si>
  <si>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</si>
  <si>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</si>
  <si>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</si>
  <si>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</si>
  <si>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</si>
  <si>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</si>
  <si>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</si>
  <si>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</si>
  <si>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</si>
  <si>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</si>
  <si>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</si>
  <si>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</si>
  <si>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</si>
  <si>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</si>
  <si>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</si>
  <si>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</si>
  <si>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</si>
  <si>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</si>
  <si>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</si>
  <si>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</si>
  <si>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</si>
  <si>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</si>
  <si>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</si>
  <si>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</si>
  <si>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</si>
  <si>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</si>
  <si>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</si>
  <si>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</si>
  <si>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</si>
  <si>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</si>
  <si>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</si>
  <si>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</si>
  <si>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</si>
  <si>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</si>
  <si>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</si>
  <si>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</si>
  <si>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</si>
  <si>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</si>
  <si>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</si>
  <si>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</si>
  <si>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</si>
  <si>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</si>
  <si>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</si>
  <si>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</si>
  <si>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</si>
  <si>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</si>
  <si>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</si>
  <si>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</si>
  <si>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</si>
  <si>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</si>
  <si>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</si>
  <si>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</si>
  <si>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</si>
  <si>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</si>
  <si>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</si>
  <si>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</si>
  <si>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</si>
  <si>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</si>
  <si>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</si>
  <si>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</si>
  <si>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</si>
  <si>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</si>
  <si>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</si>
  <si>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</si>
  <si>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</si>
  <si>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</si>
  <si>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</si>
  <si>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</si>
  <si>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</si>
  <si>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</si>
  <si>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</si>
  <si>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</si>
  <si>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</si>
  <si>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</si>
  <si>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</si>
  <si>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</si>
  <si>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</si>
  <si>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</si>
  <si>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</si>
  <si>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</si>
  <si>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</si>
  <si>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</si>
  <si>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</si>
  <si>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</si>
  <si>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</si>
  <si>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</si>
  <si>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</si>
  <si>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</si>
  <si>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</si>
  <si>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</si>
  <si>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</si>
  <si>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</si>
  <si>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</si>
  <si>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</si>
  <si>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</si>
  <si>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</si>
  <si>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</si>
  <si>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</si>
  <si>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</si>
  <si>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</si>
  <si>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</si>
  <si>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</si>
  <si>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</si>
  <si>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</si>
  <si>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</si>
  <si>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</si>
  <si>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</si>
  <si>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</si>
  <si>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</si>
  <si>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</si>
  <si>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</si>
  <si>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</si>
  <si>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</si>
  <si>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</si>
  <si>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</si>
  <si>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</si>
  <si>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</si>
  <si>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</si>
  <si>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</si>
  <si>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</si>
  <si>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</si>
  <si>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</si>
  <si>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</si>
  <si>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</si>
  <si>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</si>
  <si>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</si>
  <si>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</si>
  <si>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</si>
  <si>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</si>
  <si>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</si>
  <si>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</si>
  <si>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</si>
  <si>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</si>
  <si>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</si>
  <si>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</si>
  <si>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</si>
  <si>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</si>
  <si>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</si>
  <si>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</si>
  <si>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</si>
  <si>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</si>
  <si>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</si>
  <si>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</si>
  <si>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</si>
  <si>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</si>
  <si>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</si>
  <si>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</si>
  <si>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</si>
  <si>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</si>
  <si>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</si>
  <si>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</si>
  <si>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</si>
  <si>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</si>
  <si>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</si>
  <si>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</si>
  <si>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</si>
  <si>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</si>
  <si>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</si>
  <si>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</si>
  <si>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</si>
  <si>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</si>
  <si>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</si>
  <si>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</si>
  <si>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</si>
  <si>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</si>
  <si>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</si>
  <si>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</si>
  <si>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</si>
  <si>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</si>
  <si>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</si>
  <si>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</si>
  <si>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</si>
  <si>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</si>
  <si>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</si>
  <si>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</si>
  <si>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</si>
  <si>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</si>
  <si>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</si>
  <si>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</si>
  <si>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</si>
  <si>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</si>
  <si>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</si>
  <si>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</si>
  <si>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</si>
  <si>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</si>
  <si>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</si>
  <si>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</si>
  <si>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</si>
  <si>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</si>
  <si>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</si>
  <si>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</si>
  <si>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</si>
  <si>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</si>
  <si>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</si>
  <si>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</si>
  <si>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</si>
  <si>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</si>
  <si>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</si>
  <si>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</si>
  <si>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</si>
  <si>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</si>
  <si>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</si>
  <si>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</si>
  <si>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</si>
  <si>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</si>
  <si>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</si>
  <si>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</si>
  <si>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</si>
  <si>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</si>
  <si>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</si>
  <si>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</si>
  <si>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</si>
  <si>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</si>
  <si>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</si>
  <si>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</si>
  <si>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</si>
  <si>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</si>
  <si>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</si>
  <si>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</si>
  <si>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</si>
  <si>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</si>
  <si>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</si>
  <si>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</si>
  <si>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</si>
  <si>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</si>
  <si>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</si>
  <si>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</si>
  <si>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</si>
  <si>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</si>
  <si>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</si>
  <si>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</si>
  <si>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</si>
  <si>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</si>
  <si>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</si>
  <si>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</si>
  <si>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</si>
  <si>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</si>
  <si>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</si>
  <si>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</si>
  <si>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</si>
  <si>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</si>
  <si>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</si>
  <si>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</si>
  <si>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</si>
  <si>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</si>
  <si>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</si>
  <si>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</si>
  <si>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</si>
  <si>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</si>
  <si>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</si>
  <si>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</si>
  <si>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</si>
  <si>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</si>
  <si>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</si>
  <si>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</si>
  <si>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</si>
  <si>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</si>
  <si>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</si>
  <si>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</si>
  <si>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</si>
  <si>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</si>
  <si>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</si>
  <si>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</si>
  <si>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</si>
  <si>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</si>
  <si>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</si>
  <si>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</si>
  <si>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</si>
  <si>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</si>
  <si>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</si>
  <si>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</si>
  <si>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</si>
  <si>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</si>
  <si>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</si>
  <si>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</si>
  <si>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</si>
  <si>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</si>
  <si>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</si>
  <si>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</si>
  <si>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</si>
  <si>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</si>
  <si>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</si>
  <si>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</si>
  <si>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</si>
  <si>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</si>
  <si>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</si>
  <si>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</si>
  <si>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</si>
  <si>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</si>
  <si>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</si>
  <si>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</si>
  <si>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</si>
  <si>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</si>
  <si>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</si>
  <si>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</si>
  <si>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</si>
  <si>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</si>
  <si>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</si>
  <si>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</si>
  <si>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</si>
  <si>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</si>
  <si>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</si>
  <si>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</si>
  <si>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</si>
  <si>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</si>
  <si>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</si>
  <si>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</si>
  <si>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</si>
  <si>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</si>
  <si>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</si>
  <si>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</si>
  <si>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</si>
  <si>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</si>
  <si>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</si>
  <si>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</si>
  <si>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</si>
  <si>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</si>
  <si>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</si>
  <si>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</si>
  <si>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</si>
  <si>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</si>
  <si>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</si>
  <si>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</si>
  <si>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</si>
  <si>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</si>
  <si>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</si>
  <si>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</si>
  <si>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</si>
  <si>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</si>
  <si>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</si>
  <si>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</si>
  <si>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</si>
  <si>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</si>
  <si>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</si>
  <si>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</si>
  <si>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</si>
  <si>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</si>
  <si>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</si>
  <si>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</si>
  <si>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</si>
  <si>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</si>
  <si>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</si>
  <si>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</si>
  <si>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</si>
  <si>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</si>
  <si>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</si>
  <si>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</si>
  <si>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</si>
  <si>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</si>
  <si>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</si>
  <si>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</si>
  <si>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</si>
  <si>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</si>
  <si>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</si>
  <si>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</si>
  <si>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</si>
  <si>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</si>
  <si>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</si>
  <si>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</si>
  <si>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</si>
  <si>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</si>
  <si>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</si>
  <si>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</si>
  <si>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</si>
  <si>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</si>
  <si>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</si>
  <si>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</si>
  <si>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</si>
  <si>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</si>
  <si>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</si>
  <si>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</si>
  <si>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</si>
  <si>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</si>
  <si>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</si>
  <si>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</si>
  <si>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</si>
  <si>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</si>
  <si>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</si>
  <si>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</si>
  <si>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</si>
  <si>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</si>
  <si>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</si>
  <si>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</si>
  <si>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</si>
  <si>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</si>
  <si>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</si>
  <si>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</si>
  <si>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</si>
  <si>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</si>
  <si>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</si>
  <si>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</si>
  <si>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</si>
  <si>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</si>
  <si>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</si>
  <si>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</si>
  <si>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</si>
  <si>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</si>
  <si>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</si>
  <si>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</si>
  <si>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</si>
  <si>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</si>
  <si>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</si>
  <si>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</si>
  <si>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</si>
  <si>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</si>
  <si>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</si>
  <si>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</si>
  <si>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</si>
  <si>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</si>
  <si>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</si>
  <si>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</si>
  <si>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</si>
  <si>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</si>
  <si>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</si>
  <si>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</si>
  <si>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</si>
  <si>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</si>
  <si>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</si>
  <si>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</si>
  <si>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</si>
  <si>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</si>
  <si>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</si>
  <si>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</si>
  <si>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</si>
  <si>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</si>
  <si>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</si>
  <si>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</si>
  <si>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</si>
  <si>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</si>
  <si>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</si>
  <si>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</si>
  <si>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</si>
  <si>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</si>
  <si>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</si>
  <si>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</si>
  <si>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</si>
  <si>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</si>
  <si>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</si>
  <si>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</si>
  <si>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</si>
  <si>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</si>
  <si>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</si>
  <si>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</si>
  <si>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</si>
  <si>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</si>
  <si>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</si>
  <si>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</si>
  <si>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</si>
  <si>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</si>
  <si>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</si>
  <si>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</si>
  <si>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</si>
  <si>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</si>
  <si>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</si>
  <si>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</si>
  <si>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</si>
  <si>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</si>
  <si>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</si>
  <si>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</si>
  <si>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</si>
  <si>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</si>
  <si>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</si>
  <si>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</si>
  <si>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</si>
  <si>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</si>
  <si>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</si>
  <si>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</si>
  <si>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</si>
  <si>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</si>
  <si>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</si>
  <si>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</si>
  <si>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</si>
  <si>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</si>
  <si>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</si>
  <si>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</si>
  <si>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</si>
  <si>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</si>
  <si>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</si>
  <si>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</si>
  <si>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</si>
  <si>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</si>
  <si>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</si>
  <si>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</si>
  <si>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</si>
  <si>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</si>
  <si>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</si>
  <si>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</si>
  <si>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</si>
  <si>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</si>
  <si>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</si>
  <si>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</si>
  <si>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</si>
  <si>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</si>
  <si>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</si>
  <si>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</si>
  <si>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</si>
  <si>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</si>
  <si>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</si>
  <si>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</si>
  <si>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</si>
  <si>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</si>
  <si>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</si>
  <si>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</si>
  <si>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</si>
  <si>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</si>
  <si>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</si>
  <si>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</si>
  <si>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</si>
  <si>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</si>
  <si>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</si>
  <si>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</si>
  <si>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</si>
  <si>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</si>
  <si>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</si>
  <si>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</si>
  <si>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</si>
  <si>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</si>
  <si>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</si>
  <si>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</si>
  <si>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</si>
  <si>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</si>
  <si>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</si>
  <si>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</si>
  <si>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</si>
  <si>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</si>
  <si>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</si>
  <si>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</si>
  <si>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</si>
  <si>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</si>
  <si>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</si>
  <si>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</si>
  <si>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</si>
  <si>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</si>
  <si>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</si>
  <si>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</si>
  <si>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</si>
  <si>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</si>
  <si>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</si>
  <si>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</si>
  <si>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</si>
  <si>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</si>
  <si>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</si>
  <si>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</si>
  <si>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</si>
  <si>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</si>
  <si>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</si>
  <si>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</si>
  <si>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</si>
  <si>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</si>
  <si>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</si>
  <si>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</si>
  <si>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</si>
  <si>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</si>
  <si>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</si>
  <si>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</si>
  <si>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</si>
  <si>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</si>
  <si>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</si>
  <si>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</si>
  <si>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</si>
  <si>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</si>
  <si>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</si>
  <si>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</si>
  <si>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</si>
  <si>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</si>
  <si>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</si>
  <si>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</si>
  <si>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</si>
  <si>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</si>
  <si>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</si>
  <si>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</si>
  <si>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</si>
  <si>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</si>
  <si>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</si>
  <si>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</si>
  <si>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</si>
  <si>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</si>
  <si>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</si>
  <si>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</si>
  <si>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</si>
  <si>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</si>
  <si>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</si>
  <si>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</si>
  <si>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</si>
  <si>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</si>
  <si>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</si>
  <si>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</si>
  <si>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</si>
  <si>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</si>
  <si>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</si>
  <si>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</si>
  <si>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</si>
  <si>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</si>
  <si>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</si>
  <si>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</si>
  <si>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</si>
  <si>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</si>
  <si>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</si>
  <si>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</si>
  <si>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</si>
  <si>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</si>
  <si>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</si>
  <si>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</si>
  <si>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</si>
  <si>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</si>
  <si>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</si>
  <si>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</si>
  <si>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</si>
  <si>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</si>
  <si>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</si>
  <si>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</si>
  <si>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</si>
  <si>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</si>
  <si>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</si>
  <si>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</si>
  <si>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</si>
  <si>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</si>
  <si>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</si>
  <si>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</si>
  <si>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</si>
  <si>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</si>
  <si>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</si>
  <si>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</si>
  <si>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</si>
  <si>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</si>
  <si>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</si>
  <si>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</si>
  <si>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</si>
  <si>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</si>
  <si>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</si>
  <si>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</si>
  <si>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</si>
  <si>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</si>
  <si>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</si>
  <si>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</si>
  <si>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</si>
  <si>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</si>
  <si>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</si>
  <si>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</si>
  <si>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</si>
  <si>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</si>
  <si>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</si>
  <si>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</si>
  <si>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</si>
  <si>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</si>
  <si>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</si>
  <si>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</si>
  <si>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</si>
  <si>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</si>
  <si>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</si>
  <si>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</si>
  <si>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</si>
  <si>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</si>
  <si>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</si>
  <si>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</si>
  <si>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</si>
  <si>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</si>
  <si>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</si>
  <si>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</si>
  <si>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</si>
  <si>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</si>
  <si>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</si>
  <si>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</si>
  <si>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</si>
  <si>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</si>
  <si>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</si>
  <si>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</si>
  <si>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</si>
  <si>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</si>
  <si>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</si>
  <si>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</si>
  <si>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</si>
  <si>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</si>
  <si>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</si>
  <si>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</si>
  <si>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</si>
  <si>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</si>
  <si>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</si>
  <si>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</si>
  <si>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</si>
  <si>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</si>
  <si>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</si>
  <si>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</si>
  <si>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</si>
  <si>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</si>
  <si>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</si>
  <si>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</si>
  <si>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</si>
  <si>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</si>
  <si>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</si>
  <si>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</si>
  <si>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</si>
  <si>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</si>
  <si>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</si>
  <si>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</si>
  <si>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</si>
  <si>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</si>
  <si>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</si>
  <si>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</si>
  <si>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</si>
  <si>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</si>
  <si>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</si>
  <si>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</si>
  <si>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</si>
  <si>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</si>
  <si>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</si>
  <si>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</si>
  <si>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</si>
  <si>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</si>
  <si>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</si>
  <si>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</si>
  <si>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</si>
  <si>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</si>
  <si>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</si>
  <si>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</si>
  <si>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</si>
  <si>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</si>
  <si>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</si>
  <si>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</si>
  <si>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</si>
  <si>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</si>
  <si>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</si>
  <si>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</si>
  <si>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</si>
  <si>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</si>
  <si>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</si>
  <si>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</si>
  <si>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</si>
  <si>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</si>
  <si>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</si>
  <si>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</si>
  <si>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</si>
  <si>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</si>
  <si>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</si>
  <si>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</si>
  <si>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</si>
  <si>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</si>
  <si>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</si>
  <si>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</si>
  <si>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</si>
  <si>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</si>
  <si>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</si>
  <si>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</si>
  <si>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</si>
  <si>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</si>
  <si>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</si>
  <si>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</si>
  <si>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</si>
  <si>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</si>
  <si>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</si>
  <si>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</si>
  <si>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</si>
  <si>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</si>
  <si>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</si>
  <si>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</si>
  <si>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</si>
  <si>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</si>
  <si>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</si>
  <si>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</si>
  <si>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</si>
  <si>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</si>
  <si>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</si>
  <si>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</si>
  <si>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</si>
  <si>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</si>
  <si>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</si>
  <si>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</si>
  <si>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</si>
  <si>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</si>
  <si>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</si>
  <si>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</si>
  <si>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</si>
  <si>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</si>
  <si>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</si>
  <si>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</si>
  <si>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</si>
  <si>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</si>
  <si>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</si>
  <si>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</si>
  <si>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</si>
  <si>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</si>
  <si>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</si>
  <si>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</si>
  <si>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</si>
  <si>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</si>
  <si>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</si>
  <si>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</si>
  <si>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</si>
  <si>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</si>
  <si>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</si>
  <si>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</si>
  <si>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</si>
  <si>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</si>
  <si>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</si>
  <si>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</si>
  <si>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</si>
  <si>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</si>
  <si>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</si>
  <si>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</si>
  <si>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</si>
  <si>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</si>
  <si>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</si>
  <si>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</si>
  <si>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</si>
  <si>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</si>
  <si>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</si>
  <si>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</si>
  <si>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</si>
  <si>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</si>
  <si>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</si>
  <si>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</si>
  <si>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</si>
  <si>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</si>
  <si>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</si>
  <si>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</si>
  <si>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</si>
  <si>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</si>
  <si>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</si>
  <si>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</si>
  <si>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</si>
  <si>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</si>
  <si>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</si>
  <si>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</si>
  <si>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</si>
  <si>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</si>
  <si>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</si>
  <si>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</si>
  <si>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</si>
  <si>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</si>
  <si>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</si>
  <si>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</si>
  <si>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</si>
  <si>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</si>
  <si>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</si>
  <si>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</si>
  <si>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</si>
  <si>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</si>
  <si>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</si>
  <si>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</si>
  <si>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</si>
  <si>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</si>
  <si>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</si>
  <si>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</si>
  <si>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</si>
  <si>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</si>
  <si>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</si>
  <si>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</si>
  <si>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</si>
  <si>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</si>
  <si>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</si>
  <si>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</si>
  <si>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</si>
  <si>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</si>
  <si>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</si>
  <si>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</si>
  <si>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</si>
  <si>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</si>
  <si>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</si>
  <si>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</si>
  <si>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</si>
  <si>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</si>
  <si>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</si>
  <si>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</si>
  <si>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</si>
  <si>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</si>
  <si>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</si>
  <si>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</si>
  <si>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</si>
  <si>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</si>
  <si>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</si>
  <si>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</si>
  <si>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</si>
  <si>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</si>
  <si>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</si>
  <si>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</si>
  <si>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</si>
  <si>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</si>
  <si>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</si>
  <si>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</si>
  <si>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</si>
  <si>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</si>
  <si>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</si>
  <si>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</si>
  <si>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</si>
  <si>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</si>
  <si>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</si>
  <si>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</si>
  <si>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</si>
  <si>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</si>
  <si>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</si>
  <si>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</si>
  <si>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</si>
  <si>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</si>
  <si>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</si>
  <si>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</si>
  <si>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</si>
  <si>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</si>
  <si>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</si>
  <si>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</si>
  <si>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</si>
  <si>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</si>
  <si>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</si>
  <si>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</si>
  <si>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</si>
  <si>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</si>
  <si>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</si>
  <si>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</si>
  <si>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</si>
  <si>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</si>
  <si>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</si>
  <si>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</si>
  <si>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</si>
  <si>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</si>
  <si>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</si>
  <si>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</si>
  <si>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</si>
  <si>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</si>
  <si>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</si>
  <si>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</si>
  <si>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</si>
  <si>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</si>
  <si>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</si>
  <si>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</si>
  <si>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</si>
  <si>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</si>
  <si>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</si>
  <si>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</si>
  <si>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</si>
  <si>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</si>
  <si>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</si>
  <si>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</si>
  <si>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</si>
  <si>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</si>
  <si>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</si>
  <si>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</si>
  <si>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</si>
  <si>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</si>
  <si>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</si>
  <si>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</si>
  <si>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</si>
  <si>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</si>
  <si>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</si>
  <si>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</si>
  <si>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</si>
  <si>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</si>
  <si>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</si>
  <si>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</si>
  <si>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</si>
  <si>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</si>
  <si>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</si>
  <si>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</si>
  <si>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</si>
  <si>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</si>
  <si>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</si>
  <si>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</si>
  <si>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</si>
  <si>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</si>
  <si>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</si>
  <si>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</si>
  <si>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</si>
  <si>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</si>
  <si>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</si>
  <si>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</si>
  <si>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</si>
  <si>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</si>
  <si>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</si>
  <si>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</si>
  <si>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</si>
  <si>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</si>
  <si>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</si>
  <si>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</si>
  <si>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</si>
  <si>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</si>
  <si>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</si>
  <si>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</si>
  <si>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</si>
  <si>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</si>
  <si>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</si>
  <si>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</si>
  <si>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</si>
  <si>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</si>
  <si>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</si>
  <si>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</si>
  <si>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</si>
  <si>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</si>
  <si>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</si>
  <si>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</si>
  <si>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</si>
  <si>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</si>
  <si>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</si>
  <si>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</si>
  <si>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</si>
  <si>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</si>
  <si>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</si>
  <si>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</si>
  <si>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</si>
  <si>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</si>
  <si>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</si>
  <si>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</si>
  <si>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</si>
  <si>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</si>
  <si>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</si>
  <si>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</si>
  <si>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</si>
  <si>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</si>
  <si>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</si>
  <si>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</si>
  <si>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</si>
  <si>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</si>
  <si>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</si>
  <si>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</si>
  <si>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</si>
  <si>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</si>
  <si>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</si>
  <si>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</si>
  <si>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</si>
  <si>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</si>
  <si>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</si>
  <si>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</si>
  <si>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</si>
  <si>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</si>
  <si>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</si>
  <si>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</si>
  <si>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</si>
  <si>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</si>
  <si>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</si>
  <si>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</si>
  <si>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</si>
  <si>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</si>
  <si>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</si>
  <si>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</si>
  <si>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</si>
  <si>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</si>
  <si>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</si>
  <si>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</si>
  <si>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</si>
  <si>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</si>
  <si>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</si>
  <si>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</si>
  <si>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</si>
  <si>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</si>
  <si>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</si>
  <si>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</si>
  <si>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</si>
  <si>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</si>
  <si>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</si>
  <si>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</si>
  <si>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</si>
  <si>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</si>
  <si>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</si>
  <si>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</si>
  <si>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</si>
  <si>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</si>
  <si>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</si>
  <si>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</si>
  <si>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</si>
  <si>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</si>
  <si>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</si>
  <si>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</si>
  <si>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</si>
  <si>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</si>
  <si>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</si>
  <si>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</si>
  <si>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</si>
  <si>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</si>
  <si>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</si>
  <si>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</si>
  <si>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</si>
  <si>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</si>
  <si>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</si>
  <si>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</si>
  <si>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</si>
  <si>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</si>
  <si>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</si>
  <si>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</si>
  <si>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</si>
  <si>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</si>
  <si>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</si>
  <si>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</si>
  <si>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</si>
  <si>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</si>
  <si>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</si>
  <si>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</si>
  <si>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</si>
  <si>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</si>
  <si>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</si>
  <si>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</si>
  <si>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</si>
  <si>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</si>
  <si>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</si>
  <si>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</si>
  <si>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</si>
  <si>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</si>
  <si>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</si>
  <si>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</si>
  <si>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</si>
  <si>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</si>
  <si>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</si>
  <si>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</si>
  <si>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</si>
  <si>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</si>
  <si>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</si>
  <si>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</si>
  <si>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</si>
  <si>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</si>
  <si>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</si>
  <si>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</si>
  <si>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</si>
  <si>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</si>
  <si>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</si>
  <si>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</si>
  <si>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</si>
  <si>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</si>
  <si>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</si>
  <si>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</si>
  <si>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</si>
  <si>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</si>
  <si>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</si>
  <si>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</si>
  <si>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</si>
  <si>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</si>
  <si>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</si>
  <si>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</si>
  <si>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</si>
  <si>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</si>
  <si>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</si>
  <si>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</si>
  <si>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</si>
  <si>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</si>
  <si>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</si>
  <si>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</si>
  <si>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</si>
  <si>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</si>
  <si>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</si>
  <si>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</si>
  <si>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</si>
  <si>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</si>
  <si>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</si>
  <si>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</si>
  <si>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</si>
  <si>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</si>
  <si>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</si>
  <si>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</si>
  <si>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</si>
  <si>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</si>
  <si>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</si>
  <si>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</si>
  <si>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</si>
  <si>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</si>
  <si>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</si>
  <si>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</si>
  <si>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</si>
  <si>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</si>
  <si>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</si>
  <si>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</si>
  <si>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</si>
  <si>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</si>
  <si>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</si>
  <si>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</si>
  <si>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</si>
  <si>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</si>
  <si>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</si>
  <si>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</si>
  <si>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</si>
  <si>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</si>
  <si>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</si>
  <si>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</si>
  <si>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</si>
  <si>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</si>
  <si>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</si>
  <si>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</si>
  <si>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</si>
  <si>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</si>
  <si>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</si>
  <si>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</si>
  <si>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</si>
  <si>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</si>
  <si>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</si>
  <si>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</si>
  <si>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</si>
  <si>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</si>
  <si>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</si>
  <si>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</si>
  <si>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</si>
  <si>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</si>
  <si>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</si>
  <si>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</si>
  <si>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</si>
  <si>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</si>
  <si>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</si>
  <si>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</si>
  <si>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</si>
  <si>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</si>
  <si>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</si>
  <si>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</si>
  <si>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</si>
  <si>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</si>
  <si>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</si>
  <si>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</si>
  <si>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</si>
  <si>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</si>
  <si>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</si>
  <si>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</si>
  <si>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</si>
  <si>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</si>
  <si>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</si>
  <si>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</si>
  <si>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</si>
  <si>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</si>
  <si>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</si>
  <si>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</si>
  <si>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</si>
  <si>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</si>
  <si>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</si>
  <si>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</si>
  <si>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</si>
  <si>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</si>
  <si>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</si>
  <si>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</si>
  <si>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</si>
  <si>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</si>
  <si>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</si>
  <si>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</si>
  <si>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</si>
  <si>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</si>
  <si>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</si>
  <si>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</si>
  <si>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</si>
  <si>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</si>
  <si>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</si>
  <si>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</si>
  <si>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</si>
  <si>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</si>
  <si>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</si>
  <si>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</si>
  <si>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</si>
  <si>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</si>
  <si>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</si>
  <si>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</si>
  <si>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</si>
  <si>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</si>
  <si>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</si>
  <si>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</si>
  <si>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</si>
  <si>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</si>
  <si>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</si>
  <si>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</si>
  <si>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</si>
  <si>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</si>
  <si>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</si>
  <si>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</si>
  <si>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</si>
  <si>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</si>
  <si>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</si>
  <si>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</si>
  <si>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</si>
  <si>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</si>
  <si>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</si>
  <si>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</si>
  <si>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</si>
  <si>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</si>
  <si>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</si>
  <si>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</si>
  <si>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</si>
  <si>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</si>
  <si>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</si>
  <si>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</si>
  <si>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</si>
  <si>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</si>
  <si>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</si>
  <si>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</si>
  <si>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</si>
  <si>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</si>
  <si>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</si>
  <si>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</si>
  <si>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</si>
  <si>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</si>
  <si>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</si>
  <si>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</si>
  <si>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</si>
  <si>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</si>
  <si>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</si>
  <si>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</si>
  <si>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</si>
  <si>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</si>
  <si>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</si>
  <si>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</si>
  <si>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</si>
  <si>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</si>
  <si>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</si>
  <si>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</si>
  <si>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</si>
  <si>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</si>
  <si>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</si>
  <si>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</si>
  <si>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</si>
  <si>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</si>
  <si>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</si>
  <si>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</si>
  <si>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</si>
  <si>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</si>
  <si>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</si>
  <si>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</si>
  <si>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</si>
  <si>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</si>
  <si>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</si>
  <si>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</si>
  <si>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</si>
  <si>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</si>
  <si>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</si>
  <si>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</si>
  <si>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</si>
  <si>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</si>
  <si>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</si>
  <si>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</si>
  <si>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</si>
  <si>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</si>
  <si>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</si>
  <si>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</si>
  <si>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</si>
  <si>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</si>
  <si>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</si>
  <si>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</si>
  <si>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</si>
  <si>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</si>
  <si>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</si>
  <si>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</si>
  <si>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</si>
  <si>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</si>
  <si>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</si>
  <si>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</si>
  <si>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</si>
  <si>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</si>
  <si>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</si>
  <si>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</si>
  <si>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</si>
  <si>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</si>
  <si>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</si>
  <si>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</si>
  <si>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</si>
  <si>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</si>
  <si>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</si>
  <si>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</si>
  <si>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</si>
  <si>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</si>
  <si>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</si>
  <si>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</si>
  <si>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</si>
  <si>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</si>
  <si>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</si>
  <si>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</si>
  <si>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</si>
  <si>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</si>
  <si>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</si>
  <si>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</si>
  <si>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</si>
  <si>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</si>
  <si>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</si>
  <si>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</si>
  <si>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</si>
  <si>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</si>
  <si>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</si>
  <si>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</si>
  <si>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</si>
  <si>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</si>
  <si>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</si>
  <si>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</si>
  <si>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</si>
  <si>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</si>
  <si>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</si>
  <si>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</si>
  <si>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</si>
  <si>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</si>
  <si>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</si>
  <si>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</si>
  <si>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</si>
  <si>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</si>
  <si>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</si>
  <si>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</si>
  <si>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</si>
  <si>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</si>
  <si>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</si>
  <si>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</si>
  <si>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</si>
  <si>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</si>
  <si>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</si>
  <si>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</si>
  <si>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</si>
  <si>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</si>
  <si>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</si>
  <si>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</si>
  <si>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</si>
  <si>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</si>
  <si>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</si>
  <si>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</si>
  <si>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</si>
  <si>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</si>
  <si>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</si>
  <si>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</si>
  <si>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</si>
  <si>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</si>
  <si>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</si>
  <si>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</si>
  <si>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</si>
  <si>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</si>
  <si>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</si>
  <si>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</si>
  <si>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</si>
  <si>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</si>
  <si>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</si>
  <si>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</si>
  <si>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</si>
  <si>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</si>
  <si>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</si>
  <si>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</si>
  <si>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</si>
  <si>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</si>
  <si>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</si>
  <si>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</si>
  <si>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</si>
  <si>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</si>
  <si>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</si>
  <si>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</si>
  <si>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</si>
  <si>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</si>
  <si>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</si>
  <si>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</si>
  <si>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</si>
  <si>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</si>
  <si>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</si>
  <si>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</si>
  <si>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</si>
  <si>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</si>
  <si>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</si>
  <si>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</si>
  <si>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</si>
  <si>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</si>
  <si>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</si>
  <si>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</si>
  <si>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</si>
  <si>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</si>
  <si>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</si>
  <si>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</si>
  <si>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</si>
  <si>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</si>
  <si>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</si>
  <si>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</si>
  <si>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</si>
  <si>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</si>
  <si>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</si>
  <si>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</si>
  <si>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</si>
  <si>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</si>
  <si>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</si>
  <si>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</si>
  <si>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</si>
  <si>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</si>
  <si>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</si>
  <si>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</si>
  <si>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</si>
  <si>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</si>
  <si>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</si>
  <si>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</si>
  <si>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</si>
  <si>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</si>
  <si>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</si>
  <si>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</si>
  <si>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</si>
  <si>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</si>
  <si>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</si>
  <si>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</si>
  <si>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</si>
  <si>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</si>
  <si>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</si>
  <si>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</si>
  <si>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</si>
  <si>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</si>
  <si>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</si>
  <si>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</si>
  <si>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</si>
  <si>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</si>
  <si>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</si>
  <si>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</si>
  <si>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</si>
  <si>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</si>
  <si>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</si>
  <si>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</si>
  <si>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</si>
  <si>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</si>
  <si>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</si>
  <si>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</si>
  <si>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</si>
  <si>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</si>
  <si>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</si>
  <si>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</si>
  <si>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</si>
  <si>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</si>
  <si>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</si>
  <si>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</si>
  <si>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</si>
  <si>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</si>
  <si>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</si>
  <si>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</si>
  <si>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</si>
  <si>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</si>
  <si>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</si>
  <si>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</si>
  <si>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</si>
  <si>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</si>
  <si>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</si>
  <si>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</si>
  <si>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</si>
  <si>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</si>
  <si>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</si>
  <si>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</si>
  <si>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</si>
  <si>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</si>
  <si>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</si>
  <si>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</si>
  <si>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</si>
  <si>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</si>
  <si>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</si>
  <si>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</si>
  <si>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</si>
  <si>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</si>
  <si>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</si>
  <si>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</si>
  <si>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</si>
  <si>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</si>
  <si>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</si>
  <si>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</si>
  <si>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</si>
  <si>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</si>
  <si>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</si>
  <si>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</si>
  <si>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</si>
  <si>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</si>
  <si>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</si>
  <si>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</si>
  <si>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</si>
  <si>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</si>
  <si>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</si>
  <si>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</si>
  <si>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</si>
  <si>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</si>
  <si>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</si>
  <si>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</si>
  <si>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</si>
  <si>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</si>
  <si>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</si>
  <si>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</si>
  <si>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</si>
  <si>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</si>
  <si>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</si>
  <si>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</si>
  <si>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</si>
  <si>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</si>
  <si>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</si>
  <si>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</si>
  <si>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</si>
  <si>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</si>
  <si>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</si>
  <si>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</si>
  <si>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</si>
  <si>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</si>
  <si>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</si>
  <si>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</si>
  <si>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</si>
  <si>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</si>
  <si>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</si>
  <si>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</si>
  <si>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</si>
  <si>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</si>
  <si>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</si>
  <si>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</si>
  <si>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</si>
  <si>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</si>
  <si>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</si>
  <si>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</si>
  <si>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</si>
  <si>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</si>
  <si>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</si>
  <si>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</si>
  <si>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</si>
  <si>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</si>
  <si>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</si>
  <si>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</si>
  <si>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</si>
  <si>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</si>
  <si>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</si>
  <si>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</si>
  <si>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</si>
  <si>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</si>
  <si>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</si>
  <si>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</si>
  <si>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</si>
  <si>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</si>
  <si>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</si>
  <si>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</si>
  <si>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</si>
  <si>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</si>
  <si>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</si>
  <si>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</si>
  <si>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</si>
  <si>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</si>
  <si>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</si>
  <si>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</si>
  <si>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</si>
  <si>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</si>
  <si>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</si>
  <si>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</si>
  <si>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</si>
  <si>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</si>
  <si>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</si>
  <si>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</si>
  <si>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</si>
  <si>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</si>
  <si>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</si>
  <si>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</si>
  <si>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</si>
  <si>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</si>
  <si>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</si>
  <si>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</si>
  <si>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</si>
  <si>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</si>
  <si>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</si>
  <si>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</si>
  <si>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</si>
  <si>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</si>
  <si>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</si>
  <si>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</si>
  <si>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</si>
  <si>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</si>
  <si>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</si>
  <si>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</si>
  <si>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</si>
  <si>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</si>
  <si>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</si>
  <si>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</si>
  <si>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</si>
  <si>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</si>
  <si>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</si>
  <si>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</si>
  <si>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</si>
  <si>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</si>
  <si>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</si>
  <si>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</si>
  <si>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</si>
  <si>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</si>
  <si>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</si>
  <si>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</si>
  <si>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</si>
  <si>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</si>
  <si>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</si>
  <si>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</si>
  <si>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</si>
  <si>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</si>
  <si>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</si>
  <si>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</si>
  <si>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</si>
  <si>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</si>
  <si>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</si>
  <si>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</si>
  <si>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</si>
  <si>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</si>
  <si>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</si>
  <si>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</si>
  <si>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</si>
  <si>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</si>
  <si>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</si>
  <si>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</si>
  <si>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</si>
  <si>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</si>
  <si>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</si>
  <si>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</si>
  <si>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</si>
  <si>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</si>
  <si>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</si>
  <si>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</si>
  <si>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</si>
  <si>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</si>
  <si>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</si>
  <si>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</si>
  <si>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</si>
  <si>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</si>
  <si>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</si>
  <si>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</si>
  <si>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</si>
  <si>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</si>
  <si>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</si>
  <si>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</si>
  <si>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</si>
  <si>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</si>
  <si>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</si>
  <si>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</si>
  <si>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</si>
  <si>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</si>
  <si>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</si>
  <si>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</si>
  <si>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</si>
  <si>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</si>
  <si>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</si>
  <si>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</si>
  <si>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</si>
  <si>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</si>
  <si>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</si>
  <si>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</si>
  <si>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</si>
  <si>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</si>
  <si>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</si>
  <si>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</si>
  <si>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</si>
  <si>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</si>
  <si>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</si>
  <si>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</si>
  <si>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</si>
  <si>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</si>
  <si>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</si>
  <si>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</si>
  <si>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</si>
  <si>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</si>
  <si>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</si>
  <si>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</si>
  <si>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</si>
  <si>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</si>
  <si>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</si>
  <si>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</si>
  <si>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</si>
  <si>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</si>
  <si>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</si>
  <si>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</si>
  <si>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</si>
  <si>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</si>
  <si>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</si>
  <si>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</si>
  <si>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</si>
  <si>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</si>
  <si>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</si>
  <si>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</si>
  <si>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</si>
  <si>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</si>
  <si>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</si>
  <si>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</si>
  <si>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</si>
  <si>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</si>
  <si>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</si>
  <si>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</si>
  <si>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</si>
  <si>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</si>
  <si>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</si>
  <si>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</si>
  <si>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</si>
  <si>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Riedon Inc.</t>
  </si>
  <si>
    <t>Company wide</t>
  </si>
  <si>
    <t>948105242</t>
  </si>
  <si>
    <t>D&amp;B DUNS number</t>
  </si>
  <si>
    <t>300 Cypress Ave. Alhambra, CA. 91801</t>
  </si>
  <si>
    <t>Scott Brooker</t>
  </si>
  <si>
    <t>scott@riedon.com</t>
  </si>
  <si>
    <t>626 284-9901</t>
  </si>
  <si>
    <t>Greg Wood</t>
  </si>
  <si>
    <t>Sr. VP / General Manager</t>
  </si>
  <si>
    <t>greg@riedon.com</t>
  </si>
  <si>
    <t>https//riedon.com/media/pdf-tech/Conflict Minerals Policy.pdf</t>
  </si>
  <si>
    <t>Riedon requires vendor to complete a Riedon report format which abstracts the material in the IPC format.</t>
  </si>
  <si>
    <t>CFSI</t>
  </si>
  <si>
    <t>Guangxi</t>
  </si>
  <si>
    <t>Operaciones Metalurgical S.A.</t>
  </si>
  <si>
    <t>PT Timah (Persero) Tbk Kundur</t>
  </si>
  <si>
    <t>PT Timah (Persero) Tbk Mentok</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</si>
</sst>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0" fillId="0" borderId="65" xfId="0" applyFont="1" applyBorder="1" applyAlignment="1" applyProtection="1">
      <alignment vertical="center" wrapText="1"/>
      <protection locked="0" hidden="1"/>
    </xf>
    <xf numFmtId="49" fontId="0" fillId="0" borderId="0" xfId="0" applyNumberFormat="1" applyFont="1" applyFill="1" applyBorder="1" applyAlignment="1" applyProtection="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340">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cott@riedo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reg@ried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8"/>
      <c r="B2" s="38" t="s">
        <v>963</v>
      </c>
      <c r="C2" s="36"/>
      <c r="D2" s="207"/>
      <c r="E2" s="3"/>
      <c r="F2" s="36"/>
      <c r="G2" s="34"/>
    </row>
    <row r="3" spans="1:7">
      <c r="A3" s="358"/>
      <c r="B3" s="5" t="s">
        <v>952</v>
      </c>
      <c r="C3" s="6"/>
      <c r="D3" s="208"/>
      <c r="E3" s="3"/>
      <c r="F3" s="6"/>
      <c r="G3" s="34"/>
    </row>
    <row r="4" spans="1:7" ht="15.75">
      <c r="A4" s="358"/>
      <c r="B4" s="41" t="s">
        <v>965</v>
      </c>
      <c r="C4" s="7"/>
      <c r="D4" s="209"/>
      <c r="E4" s="3"/>
      <c r="F4" s="7"/>
      <c r="G4" s="34"/>
    </row>
    <row r="5" spans="1:7">
      <c r="A5" s="358"/>
      <c r="B5" s="40" t="s">
        <v>1157</v>
      </c>
      <c r="C5" s="4"/>
      <c r="D5" s="210"/>
      <c r="E5" s="3"/>
      <c r="F5" s="4"/>
      <c r="G5" s="34"/>
    </row>
    <row r="6" spans="1:7">
      <c r="A6" s="358"/>
      <c r="B6" s="8"/>
      <c r="C6" s="8"/>
      <c r="D6" s="211"/>
      <c r="E6" s="8"/>
      <c r="F6" s="8"/>
      <c r="G6" s="34"/>
    </row>
    <row r="7" spans="1:7">
      <c r="A7" s="358"/>
      <c r="B7" s="8"/>
      <c r="C7" s="8"/>
      <c r="D7" s="211"/>
      <c r="E7" s="8"/>
      <c r="F7" s="8"/>
      <c r="G7" s="34"/>
    </row>
    <row r="8" spans="1:7">
      <c r="A8" s="358"/>
      <c r="B8" s="8"/>
      <c r="C8" s="8"/>
      <c r="D8" s="211"/>
      <c r="E8" s="8"/>
      <c r="F8" s="8"/>
      <c r="G8" s="34"/>
    </row>
    <row r="9" spans="1:7">
      <c r="A9" s="358"/>
      <c r="B9" s="361" t="s">
        <v>966</v>
      </c>
      <c r="C9" s="361"/>
      <c r="D9" s="361"/>
      <c r="E9" s="361"/>
      <c r="F9" s="361"/>
      <c r="G9" s="34"/>
    </row>
    <row r="10" spans="1:7" ht="27" customHeight="1">
      <c r="A10" s="358"/>
      <c r="B10" s="362" t="s">
        <v>506</v>
      </c>
      <c r="C10" s="362"/>
      <c r="D10" s="362"/>
      <c r="E10" s="362"/>
      <c r="F10" s="362"/>
      <c r="G10" s="34"/>
    </row>
    <row r="11" spans="1:7" ht="27" customHeight="1">
      <c r="A11" s="358"/>
      <c r="B11" s="363"/>
      <c r="C11" s="363"/>
      <c r="D11" s="363"/>
      <c r="E11" s="363"/>
      <c r="F11" s="363"/>
      <c r="G11" s="34"/>
    </row>
    <row r="12" spans="1:7" ht="16.5">
      <c r="A12" s="358"/>
      <c r="B12" s="42" t="s">
        <v>964</v>
      </c>
      <c r="C12" s="43" t="s">
        <v>967</v>
      </c>
      <c r="D12" s="212" t="s">
        <v>968</v>
      </c>
      <c r="E12" s="43" t="s">
        <v>701</v>
      </c>
      <c r="F12" s="43" t="s">
        <v>702</v>
      </c>
      <c r="G12" s="34"/>
    </row>
    <row r="13" spans="1:7" ht="33.75">
      <c r="A13" s="358"/>
      <c r="B13" s="2">
        <v>1</v>
      </c>
      <c r="C13" s="37" t="s">
        <v>1208</v>
      </c>
      <c r="D13" s="39" t="s">
        <v>992</v>
      </c>
      <c r="E13" s="196" t="s">
        <v>969</v>
      </c>
      <c r="F13" s="196"/>
      <c r="G13" s="34"/>
    </row>
    <row r="14" spans="1:7" ht="33.75">
      <c r="A14" s="358"/>
      <c r="B14" s="2">
        <v>2</v>
      </c>
      <c r="C14" s="37" t="s">
        <v>1208</v>
      </c>
      <c r="D14" s="39" t="s">
        <v>1142</v>
      </c>
      <c r="E14" s="196" t="s">
        <v>602</v>
      </c>
      <c r="F14" s="196" t="s">
        <v>603</v>
      </c>
      <c r="G14" s="34"/>
    </row>
    <row r="15" spans="1:7" ht="89.1" customHeight="1">
      <c r="A15" s="358"/>
      <c r="B15" s="364">
        <v>2.0099999999999998</v>
      </c>
      <c r="C15" s="355" t="s">
        <v>1208</v>
      </c>
      <c r="D15" s="367" t="s">
        <v>2686</v>
      </c>
      <c r="E15" s="197" t="s">
        <v>703</v>
      </c>
      <c r="F15" s="197" t="s">
        <v>706</v>
      </c>
      <c r="G15" s="34"/>
    </row>
    <row r="16" spans="1:7" ht="99" customHeight="1">
      <c r="A16" s="358"/>
      <c r="B16" s="365"/>
      <c r="C16" s="356"/>
      <c r="D16" s="368"/>
      <c r="E16" s="198"/>
      <c r="F16" s="198" t="s">
        <v>704</v>
      </c>
      <c r="G16" s="34"/>
    </row>
    <row r="17" spans="1:7" ht="63" customHeight="1">
      <c r="A17" s="358"/>
      <c r="B17" s="366"/>
      <c r="C17" s="357"/>
      <c r="D17" s="369"/>
      <c r="E17" s="37"/>
      <c r="F17" s="37" t="s">
        <v>705</v>
      </c>
      <c r="G17" s="34"/>
    </row>
    <row r="18" spans="1:7" ht="117" customHeight="1">
      <c r="A18" s="358"/>
      <c r="B18" s="364">
        <v>2.02</v>
      </c>
      <c r="C18" s="355" t="s">
        <v>1208</v>
      </c>
      <c r="D18" s="367" t="s">
        <v>2687</v>
      </c>
      <c r="E18" s="197" t="s">
        <v>507</v>
      </c>
      <c r="F18" s="197" t="s">
        <v>596</v>
      </c>
      <c r="G18" s="34"/>
    </row>
    <row r="19" spans="1:7" ht="71.099999999999994" customHeight="1">
      <c r="A19" s="358"/>
      <c r="B19" s="365"/>
      <c r="C19" s="356"/>
      <c r="D19" s="368"/>
      <c r="E19" s="198" t="s">
        <v>601</v>
      </c>
      <c r="F19" s="198" t="s">
        <v>508</v>
      </c>
      <c r="G19" s="34"/>
    </row>
    <row r="20" spans="1:7" ht="90.75" customHeight="1">
      <c r="A20" s="358"/>
      <c r="B20" s="365"/>
      <c r="C20" s="356"/>
      <c r="D20" s="368"/>
      <c r="E20" s="198"/>
      <c r="F20" s="198" t="s">
        <v>708</v>
      </c>
      <c r="G20" s="34"/>
    </row>
    <row r="21" spans="1:7" ht="74.25" customHeight="1">
      <c r="A21" s="358"/>
      <c r="B21" s="366"/>
      <c r="C21" s="357"/>
      <c r="D21" s="369"/>
      <c r="E21" s="37"/>
      <c r="F21" s="37" t="s">
        <v>707</v>
      </c>
      <c r="G21" s="34"/>
    </row>
    <row r="22" spans="1:7" ht="90" customHeight="1">
      <c r="A22" s="358"/>
      <c r="B22" s="349">
        <v>2.0299999999999998</v>
      </c>
      <c r="C22" s="349" t="s">
        <v>935</v>
      </c>
      <c r="D22" s="352" t="s">
        <v>2688</v>
      </c>
      <c r="E22" s="355" t="s">
        <v>505</v>
      </c>
      <c r="F22" s="197" t="s">
        <v>529</v>
      </c>
      <c r="G22" s="34"/>
    </row>
    <row r="23" spans="1:7" ht="109.5" customHeight="1">
      <c r="A23" s="358"/>
      <c r="B23" s="350"/>
      <c r="C23" s="350"/>
      <c r="D23" s="353"/>
      <c r="E23" s="356"/>
      <c r="F23" s="198" t="s">
        <v>936</v>
      </c>
      <c r="G23" s="34"/>
    </row>
    <row r="24" spans="1:7" ht="74.25" customHeight="1">
      <c r="A24" s="358"/>
      <c r="B24" s="351"/>
      <c r="C24" s="351"/>
      <c r="D24" s="354"/>
      <c r="E24" s="357"/>
      <c r="F24" s="37" t="s">
        <v>504</v>
      </c>
      <c r="G24" s="34"/>
    </row>
    <row r="25" spans="1:7" ht="72" customHeight="1">
      <c r="A25" s="358"/>
      <c r="B25" s="2" t="s">
        <v>527</v>
      </c>
      <c r="C25" s="37" t="s">
        <v>528</v>
      </c>
      <c r="D25" s="39" t="s">
        <v>2689</v>
      </c>
      <c r="E25" s="37" t="s">
        <v>2682</v>
      </c>
      <c r="F25" s="37" t="s">
        <v>530</v>
      </c>
      <c r="G25" s="34"/>
    </row>
    <row r="26" spans="1:7" ht="98.1" customHeight="1">
      <c r="A26" s="358"/>
      <c r="B26" s="370">
        <v>3</v>
      </c>
      <c r="C26" s="364" t="s">
        <v>74</v>
      </c>
      <c r="D26" s="367" t="s">
        <v>2690</v>
      </c>
      <c r="E26" s="355" t="s">
        <v>0</v>
      </c>
      <c r="F26" s="197" t="s">
        <v>68</v>
      </c>
      <c r="G26" s="34"/>
    </row>
    <row r="27" spans="1:7" ht="90" customHeight="1">
      <c r="A27" s="358"/>
      <c r="B27" s="371"/>
      <c r="C27" s="365"/>
      <c r="D27" s="368"/>
      <c r="E27" s="356"/>
      <c r="F27" s="198" t="s">
        <v>63</v>
      </c>
      <c r="G27" s="34"/>
    </row>
    <row r="28" spans="1:7" ht="19.350000000000001" customHeight="1">
      <c r="A28" s="358"/>
      <c r="B28" s="371"/>
      <c r="C28" s="365"/>
      <c r="D28" s="368"/>
      <c r="E28" s="356"/>
      <c r="F28" s="198" t="s">
        <v>64</v>
      </c>
      <c r="G28" s="34"/>
    </row>
    <row r="29" spans="1:7" ht="74.45" customHeight="1">
      <c r="A29" s="358"/>
      <c r="B29" s="371"/>
      <c r="C29" s="365"/>
      <c r="D29" s="368"/>
      <c r="E29" s="356"/>
      <c r="F29" s="198" t="s">
        <v>65</v>
      </c>
      <c r="G29" s="34"/>
    </row>
    <row r="30" spans="1:7" ht="62.45" customHeight="1">
      <c r="A30" s="358"/>
      <c r="B30" s="371"/>
      <c r="C30" s="365"/>
      <c r="D30" s="368"/>
      <c r="E30" s="356"/>
      <c r="F30" s="198" t="s">
        <v>66</v>
      </c>
      <c r="G30" s="34"/>
    </row>
    <row r="31" spans="1:7" ht="81" customHeight="1">
      <c r="A31" s="358"/>
      <c r="B31" s="371"/>
      <c r="C31" s="365"/>
      <c r="D31" s="368"/>
      <c r="E31" s="356"/>
      <c r="F31" s="198" t="s">
        <v>67</v>
      </c>
      <c r="G31" s="34"/>
    </row>
    <row r="32" spans="1:7" ht="48.75" customHeight="1">
      <c r="A32" s="358"/>
      <c r="B32" s="371"/>
      <c r="C32" s="365"/>
      <c r="D32" s="368"/>
      <c r="E32" s="356"/>
      <c r="F32" s="198" t="s">
        <v>70</v>
      </c>
      <c r="G32" s="34"/>
    </row>
    <row r="33" spans="1:7" ht="98.45" customHeight="1">
      <c r="A33" s="358"/>
      <c r="B33" s="371"/>
      <c r="C33" s="365"/>
      <c r="D33" s="368"/>
      <c r="E33" s="356"/>
      <c r="F33" s="198" t="s">
        <v>69</v>
      </c>
      <c r="G33" s="34"/>
    </row>
    <row r="34" spans="1:7" ht="89.1" customHeight="1">
      <c r="A34" s="358"/>
      <c r="B34" s="371"/>
      <c r="C34" s="365"/>
      <c r="D34" s="368"/>
      <c r="E34" s="356"/>
      <c r="F34" s="198" t="s">
        <v>71</v>
      </c>
      <c r="G34" s="34"/>
    </row>
    <row r="35" spans="1:7" ht="29.1" customHeight="1">
      <c r="A35" s="358"/>
      <c r="B35" s="371"/>
      <c r="C35" s="365"/>
      <c r="D35" s="368"/>
      <c r="E35" s="356"/>
      <c r="F35" s="198" t="s">
        <v>72</v>
      </c>
      <c r="G35" s="34"/>
    </row>
    <row r="36" spans="1:7" ht="126.75">
      <c r="A36" s="358"/>
      <c r="B36" s="372"/>
      <c r="C36" s="366"/>
      <c r="D36" s="369"/>
      <c r="E36" s="357"/>
      <c r="F36" s="199" t="s">
        <v>73</v>
      </c>
      <c r="G36" s="34"/>
    </row>
    <row r="37" spans="1:7" ht="123.75">
      <c r="A37" s="358"/>
      <c r="B37" s="175">
        <v>3.01</v>
      </c>
      <c r="C37" s="176" t="s">
        <v>74</v>
      </c>
      <c r="D37" s="39" t="s">
        <v>2691</v>
      </c>
      <c r="E37" s="200" t="s">
        <v>1458</v>
      </c>
      <c r="F37" s="201" t="s">
        <v>1577</v>
      </c>
      <c r="G37" s="34"/>
    </row>
    <row r="38" spans="1:7" ht="112.5">
      <c r="A38" s="358"/>
      <c r="B38" s="175">
        <v>3.02</v>
      </c>
      <c r="C38" s="176" t="s">
        <v>1492</v>
      </c>
      <c r="D38" s="39" t="s">
        <v>2692</v>
      </c>
      <c r="E38" s="200" t="s">
        <v>1507</v>
      </c>
      <c r="F38" s="201" t="s">
        <v>1578</v>
      </c>
      <c r="G38" s="34"/>
    </row>
    <row r="39" spans="1:7" ht="101.25">
      <c r="A39" s="358"/>
      <c r="B39" s="184">
        <v>4</v>
      </c>
      <c r="C39" s="183" t="s">
        <v>1757</v>
      </c>
      <c r="D39" s="39" t="s">
        <v>2693</v>
      </c>
      <c r="E39" s="37" t="s">
        <v>2625</v>
      </c>
      <c r="F39" s="37" t="s">
        <v>1758</v>
      </c>
      <c r="G39" s="34"/>
    </row>
    <row r="40" spans="1:7" ht="56.25">
      <c r="A40" s="358"/>
      <c r="B40" s="175">
        <v>4.01</v>
      </c>
      <c r="C40" s="183" t="s">
        <v>1757</v>
      </c>
      <c r="D40" s="39" t="s">
        <v>2695</v>
      </c>
      <c r="E40" s="37" t="s">
        <v>2644</v>
      </c>
      <c r="F40" s="37" t="s">
        <v>2649</v>
      </c>
      <c r="G40" s="34"/>
    </row>
    <row r="41" spans="1:7" ht="56.25">
      <c r="A41" s="358"/>
      <c r="B41" s="175" t="s">
        <v>2680</v>
      </c>
      <c r="C41" s="183" t="s">
        <v>1757</v>
      </c>
      <c r="D41" s="39" t="s">
        <v>2694</v>
      </c>
      <c r="E41" s="37" t="s">
        <v>2683</v>
      </c>
      <c r="F41" s="37" t="s">
        <v>2681</v>
      </c>
      <c r="G41" s="34"/>
    </row>
    <row r="42" spans="1:7" ht="56.25">
      <c r="A42" s="358"/>
      <c r="B42" s="175" t="s">
        <v>2732</v>
      </c>
      <c r="C42" s="183" t="s">
        <v>1757</v>
      </c>
      <c r="D42" s="39" t="s">
        <v>2903</v>
      </c>
      <c r="E42" s="37" t="s">
        <v>2682</v>
      </c>
      <c r="F42" s="37" t="s">
        <v>2733</v>
      </c>
      <c r="G42" s="34"/>
    </row>
    <row r="43" spans="1:7" ht="123.75">
      <c r="A43" s="358"/>
      <c r="B43" s="193">
        <v>4.0999999999999996</v>
      </c>
      <c r="C43" s="183" t="s">
        <v>2902</v>
      </c>
      <c r="D43" s="194">
        <v>42867</v>
      </c>
      <c r="E43" s="202" t="s">
        <v>2905</v>
      </c>
      <c r="F43" s="37" t="s">
        <v>2904</v>
      </c>
      <c r="G43" s="34"/>
    </row>
    <row r="44" spans="1:7" ht="78.75">
      <c r="A44" s="358"/>
      <c r="B44" s="193">
        <v>4.2</v>
      </c>
      <c r="C44" s="183" t="s">
        <v>2902</v>
      </c>
      <c r="D44" s="194">
        <v>42704</v>
      </c>
      <c r="E44" s="202" t="s">
        <v>3155</v>
      </c>
      <c r="F44" s="37" t="s">
        <v>3120</v>
      </c>
      <c r="G44" s="34"/>
    </row>
    <row r="45" spans="1:7" ht="157.5">
      <c r="A45" s="358"/>
      <c r="B45" s="241">
        <v>5</v>
      </c>
      <c r="C45" s="183" t="s">
        <v>2902</v>
      </c>
      <c r="D45" s="194">
        <v>42867</v>
      </c>
      <c r="E45" s="202" t="s">
        <v>13730</v>
      </c>
      <c r="F45" s="37" t="s">
        <v>13315</v>
      </c>
      <c r="G45" s="34"/>
    </row>
    <row r="46" spans="1:7" ht="45">
      <c r="A46" s="358"/>
      <c r="B46" s="193">
        <v>5.01</v>
      </c>
      <c r="C46" s="183" t="s">
        <v>2902</v>
      </c>
      <c r="D46" s="194">
        <v>42907</v>
      </c>
      <c r="E46" s="202" t="s">
        <v>13786</v>
      </c>
      <c r="F46" s="37" t="s">
        <v>13315</v>
      </c>
      <c r="G46" s="34"/>
    </row>
    <row r="47" spans="1:7" ht="67.5">
      <c r="A47" s="358"/>
      <c r="B47" s="193">
        <v>5.0999999999999996</v>
      </c>
      <c r="C47" s="183" t="s">
        <v>2902</v>
      </c>
      <c r="D47" s="194">
        <v>43070</v>
      </c>
      <c r="E47" s="202" t="s">
        <v>13985</v>
      </c>
      <c r="F47" s="37" t="s">
        <v>13986</v>
      </c>
      <c r="G47" s="34"/>
    </row>
    <row r="48" spans="1:7" ht="56.25">
      <c r="A48" s="358"/>
      <c r="B48" s="193">
        <v>5.1100000000000003</v>
      </c>
      <c r="C48" s="183" t="s">
        <v>14260</v>
      </c>
      <c r="D48" s="194">
        <v>43217</v>
      </c>
      <c r="E48" s="202" t="s">
        <v>14404</v>
      </c>
      <c r="F48" s="37" t="s">
        <v>14299</v>
      </c>
      <c r="G48" s="34"/>
    </row>
    <row r="49" spans="1:7" ht="56.25">
      <c r="A49" s="358"/>
      <c r="B49" s="193">
        <v>5.12</v>
      </c>
      <c r="C49" s="183" t="s">
        <v>14260</v>
      </c>
      <c r="D49" s="194">
        <v>43581</v>
      </c>
      <c r="E49" s="202" t="s">
        <v>14404</v>
      </c>
      <c r="F49" s="37" t="s">
        <v>15467</v>
      </c>
      <c r="G49" s="34"/>
    </row>
    <row r="50" spans="1:7" ht="13.5" thickBot="1">
      <c r="A50" s="359"/>
      <c r="B50" s="360" t="str">
        <f ca="1">OFFSET(L!$C$1,MATCH("General"&amp;"Cpy",L!$A:$A,0)-1,SL,,)</f>
        <v>© 2019 Responsible Minerals Initiative. All rights reserved.</v>
      </c>
      <c r="C50" s="360"/>
      <c r="D50" s="360"/>
      <c r="E50" s="360"/>
      <c r="F50" s="360"/>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55"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27"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3"/>
      <c r="B1" s="374"/>
      <c r="C1" s="374"/>
      <c r="D1" s="375"/>
    </row>
    <row r="2" spans="1:5" ht="71.25" customHeight="1">
      <c r="A2" s="90"/>
      <c r="B2" s="171" t="str">
        <f ca="1">OFFSET(L!$C$1,MATCH("Definitions"&amp;ADDRESS(ROW(),COLUMN(),4),L!$A:$A,0)-1,SL,,)</f>
        <v>ITEM</v>
      </c>
      <c r="C2" s="171" t="str">
        <f ca="1">OFFSET(L!$C$1,MATCH("Definitions"&amp;ADDRESS(ROW(),COLUMN(),4),L!$A:$A,0)-1,SL,,)</f>
        <v>DEFINITION</v>
      </c>
      <c r="D2" s="377"/>
      <c r="E2" s="131"/>
    </row>
    <row r="3" spans="1:5" ht="63.95" customHeight="1">
      <c r="A3" s="90"/>
      <c r="B3" s="77" t="str">
        <f ca="1">OFFSET(L!$C$1,MATCH("Definitions"&amp;ADDRESS(ROW(),COLUMN(),4),L!$A:$A,0)-1,SL,,)</f>
        <v>3TG</v>
      </c>
      <c r="C3" s="77" t="str">
        <f ca="1">OFFSET(L!$C$1,MATCH("Definitions"&amp;ADDRESS(ROW(),COLUMN(),4),L!$A:$A,0)-1,SL,,)</f>
        <v>Tantalum, tin, tungsten, gold</v>
      </c>
      <c r="D3" s="377"/>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7"/>
      <c r="E8" s="132" t="s">
        <v>1443</v>
      </c>
    </row>
    <row r="9" spans="1:5" ht="45">
      <c r="A9" s="90"/>
      <c r="B9" s="77" t="str">
        <f ca="1">OFFSET(L!$C$1,MATCH("Definitions"&amp;ADDRESS(ROW(),COLUMN(),4),L!$A:$A,0)-1,SL,,)</f>
        <v>DRC</v>
      </c>
      <c r="C9" s="77" t="str">
        <f ca="1">OFFSET(L!$C$1,MATCH("Definitions"&amp;ADDRESS(ROW(),COLUMN(),4),L!$A:$A,0)-1,SL,,)</f>
        <v>Democratic Republic of Congo</v>
      </c>
      <c r="D9" s="377"/>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7"/>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7"/>
      <c r="E19" s="132"/>
    </row>
    <row r="20" spans="1:5" ht="15">
      <c r="A20" s="90"/>
      <c r="B20" s="77" t="str">
        <f ca="1">OFFSET(L!$C$1,MATCH("Definitions"&amp;ADDRESS(ROW(),COLUMN(),4),L!$A:$A,0)-1,SL,,)</f>
        <v>RBA</v>
      </c>
      <c r="C20" s="77" t="str">
        <f ca="1">OFFSET(L!$C$1,MATCH("Definitions"&amp;ADDRESS(ROW(),COLUMN(),4),L!$A:$A,0)-1,SL,,)</f>
        <v>Responsible Business Alliance (www.responsiblebusiness.org)</v>
      </c>
      <c r="D20" s="377"/>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7"/>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32"/>
    </row>
    <row r="31" spans="1:5" ht="15">
      <c r="A31" s="90"/>
      <c r="B31" s="376" t="str">
        <f ca="1">OFFSET(L!$C$1,MATCH("General"&amp;"Cpy",L!$A:$A,0)-1,SL,,)</f>
        <v>© 2019 Responsible Minerals Initiative. All rights reserved.</v>
      </c>
      <c r="C31" s="376"/>
      <c r="D31" s="377"/>
      <c r="E31" s="132"/>
    </row>
    <row r="32" spans="1:5" ht="13.5" thickBot="1">
      <c r="A32" s="91"/>
      <c r="B32" s="187"/>
      <c r="C32" s="187"/>
      <c r="D32" s="378"/>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8"/>
      <c r="B1" s="399"/>
      <c r="C1" s="399"/>
      <c r="D1" s="399"/>
      <c r="E1" s="399"/>
      <c r="F1" s="399"/>
      <c r="G1" s="399"/>
      <c r="H1" s="399"/>
      <c r="I1" s="399"/>
      <c r="J1" s="399"/>
      <c r="K1" s="40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1" t="str">
        <f ca="1">OFFSET(L!$C$1,MATCH("Declaration"&amp;ADDRESS(ROW(),COLUMN(),4),L!$A:$A,0)-1,SL,,)</f>
        <v>Conflict Minerals Reporting Template (CMRT)</v>
      </c>
      <c r="E2" s="402"/>
      <c r="F2" s="402"/>
      <c r="G2" s="402"/>
      <c r="H2" s="402"/>
      <c r="I2" s="402"/>
      <c r="J2" s="40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1"/>
      <c r="G3" s="411"/>
      <c r="H3" s="411"/>
      <c r="I3" s="186"/>
      <c r="J3" s="172" t="s">
        <v>15472</v>
      </c>
      <c r="K3" s="47"/>
      <c r="L3" s="143"/>
      <c r="M3" s="134"/>
      <c r="N3" s="134"/>
      <c r="O3" s="135"/>
      <c r="P3" s="148">
        <f>MATCH($D$3,LN,0)</f>
        <v>1</v>
      </c>
    </row>
    <row r="4" spans="1:34" ht="15.75">
      <c r="A4" s="45"/>
      <c r="B4" s="407" t="str">
        <f ca="1">OFFSET(L!$C$1,MATCH("Declaration"&amp;ADDRESS(ROW(),COLUMN(),4),L!$A:$A,0)-1,SL,,)</f>
        <v>The purpose of this document is to collect sourcing information on tin, tantalum, tungsten and gold used in products</v>
      </c>
      <c r="C4" s="407"/>
      <c r="D4" s="407"/>
      <c r="E4" s="407"/>
      <c r="F4" s="407"/>
      <c r="G4" s="407"/>
      <c r="H4" s="407"/>
      <c r="I4" s="412" t="str">
        <f ca="1">OFFSET(L!$C$1,MATCH("Declaration"&amp;ADDRESS(ROW(),COLUMN(),4),L!$A:$A,0)-1,SL,,)</f>
        <v>Link to Terms &amp; Conditions</v>
      </c>
      <c r="J4" s="41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6" t="str">
        <f ca="1">OFFSET(L!$C$1,MATCH("Declaration"&amp;ADDRESS(ROW(),COLUMN(),4),L!$A:$A,0)-1,SL,,)</f>
        <v>Company Information</v>
      </c>
      <c r="C7" s="416"/>
      <c r="D7" s="416"/>
      <c r="E7" s="416"/>
      <c r="F7" s="416"/>
      <c r="G7" s="416"/>
      <c r="H7" s="416"/>
      <c r="I7" s="416"/>
      <c r="J7" s="41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4" t="s">
        <v>15494</v>
      </c>
      <c r="E8" s="405"/>
      <c r="F8" s="405"/>
      <c r="G8" s="405"/>
      <c r="H8" s="405"/>
      <c r="I8" s="405"/>
      <c r="J8" s="40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3" t="s">
        <v>564</v>
      </c>
      <c r="E9" s="414"/>
      <c r="F9" s="414"/>
      <c r="G9" s="41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7" t="str">
        <f ca="1">OFFSET(L!$C$1,MATCH("Declaration"&amp;ADDRESS(ROW(),COLUMN(),4)&amp;LEFT($D$9,1),L!$A:$A,0)-1,SL,,)</f>
        <v>Description of Scope:</v>
      </c>
      <c r="C10" s="155"/>
      <c r="D10" s="408" t="s">
        <v>15495</v>
      </c>
      <c r="E10" s="409"/>
      <c r="F10" s="409"/>
      <c r="G10" s="409"/>
      <c r="H10" s="409"/>
      <c r="I10" s="409"/>
      <c r="J10" s="41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8"/>
      <c r="C11" s="155"/>
      <c r="D11" s="427" t="str">
        <f ca="1">IF(D9=Q9,OFFSET(L!$C$1,MATCH("Declaration"&amp;ADDRESS(ROW(),COLUMN(),4),L!$A:$A,0)-1,SL,,),"")</f>
        <v/>
      </c>
      <c r="E11" s="428"/>
      <c r="F11" s="428"/>
      <c r="G11" s="428"/>
      <c r="H11" s="428"/>
      <c r="I11" s="428"/>
      <c r="J11" s="429"/>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7" t="s">
        <v>15496</v>
      </c>
      <c r="E12" s="388"/>
      <c r="F12" s="388"/>
      <c r="G12" s="388"/>
      <c r="H12" s="388"/>
      <c r="I12" s="388"/>
      <c r="J12" s="389"/>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7" t="s">
        <v>15497</v>
      </c>
      <c r="E13" s="388"/>
      <c r="F13" s="388"/>
      <c r="G13" s="388"/>
      <c r="H13" s="388"/>
      <c r="I13" s="388"/>
      <c r="J13" s="389"/>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7" t="s">
        <v>15498</v>
      </c>
      <c r="E14" s="388"/>
      <c r="F14" s="388"/>
      <c r="G14" s="388"/>
      <c r="H14" s="388"/>
      <c r="I14" s="388"/>
      <c r="J14" s="389"/>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7" t="s">
        <v>15499</v>
      </c>
      <c r="E15" s="388"/>
      <c r="F15" s="388"/>
      <c r="G15" s="388"/>
      <c r="H15" s="388"/>
      <c r="I15" s="388"/>
      <c r="J15" s="389"/>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19" t="s">
        <v>15500</v>
      </c>
      <c r="E16" s="420"/>
      <c r="F16" s="420"/>
      <c r="G16" s="420"/>
      <c r="H16" s="420"/>
      <c r="I16" s="420"/>
      <c r="J16" s="42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7" t="s">
        <v>15501</v>
      </c>
      <c r="E17" s="388"/>
      <c r="F17" s="388"/>
      <c r="G17" s="388"/>
      <c r="H17" s="388"/>
      <c r="I17" s="388"/>
      <c r="J17" s="389"/>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7" t="s">
        <v>15502</v>
      </c>
      <c r="E18" s="388"/>
      <c r="F18" s="388"/>
      <c r="G18" s="388"/>
      <c r="H18" s="388"/>
      <c r="I18" s="388"/>
      <c r="J18" s="389"/>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7" t="s">
        <v>15503</v>
      </c>
      <c r="E19" s="388"/>
      <c r="F19" s="388"/>
      <c r="G19" s="388"/>
      <c r="H19" s="388"/>
      <c r="I19" s="388"/>
      <c r="J19" s="389"/>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19" t="s">
        <v>15504</v>
      </c>
      <c r="E20" s="420"/>
      <c r="F20" s="420"/>
      <c r="G20" s="420"/>
      <c r="H20" s="420"/>
      <c r="I20" s="420"/>
      <c r="J20" s="42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7" t="s">
        <v>15501</v>
      </c>
      <c r="E21" s="388"/>
      <c r="F21" s="388"/>
      <c r="G21" s="388"/>
      <c r="H21" s="388"/>
      <c r="I21" s="388"/>
      <c r="J21" s="389"/>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90">
        <v>43607</v>
      </c>
      <c r="E22" s="39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4"/>
      <c r="E23" s="42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2" t="str">
        <f ca="1">OFFSET(L!$C$1,MATCH("Declaration"&amp;ADDRESS(ROW(),COLUMN(),4),L!$A:$A,0)-1,SL,,)</f>
        <v>Answer the following questions 1 - 7 based on the declaration scope indicated above</v>
      </c>
      <c r="C24" s="392"/>
      <c r="D24" s="392"/>
      <c r="E24" s="392"/>
      <c r="F24" s="392"/>
      <c r="G24" s="392"/>
      <c r="H24" s="392"/>
      <c r="I24" s="392"/>
      <c r="J24" s="39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5" t="str">
        <f ca="1">OFFSET(L!$C$1,MATCH("Declaration"&amp;ADDRESS(ROW(),COLUMN(),4),L!$A:$A,0)-1,SL,,)</f>
        <v>Answer</v>
      </c>
      <c r="E25" s="425"/>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559</v>
      </c>
      <c r="E26" s="380"/>
      <c r="F26" s="15"/>
      <c r="G26" s="381"/>
      <c r="H26" s="382"/>
      <c r="I26" s="382"/>
      <c r="J26" s="383"/>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558</v>
      </c>
      <c r="E27" s="380"/>
      <c r="F27" s="15"/>
      <c r="G27" s="381"/>
      <c r="H27" s="382"/>
      <c r="I27" s="382"/>
      <c r="J27" s="383"/>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9" t="s">
        <v>558</v>
      </c>
      <c r="E28" s="380"/>
      <c r="F28" s="15"/>
      <c r="G28" s="381"/>
      <c r="H28" s="382"/>
      <c r="I28" s="382"/>
      <c r="J28" s="383"/>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559</v>
      </c>
      <c r="E29" s="380"/>
      <c r="F29" s="15"/>
      <c r="G29" s="381"/>
      <c r="H29" s="382"/>
      <c r="I29" s="382"/>
      <c r="J29" s="383"/>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6" t="str">
        <f ca="1">D25</f>
        <v>Answer</v>
      </c>
      <c r="E31" s="386"/>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3" t="s">
        <v>559</v>
      </c>
      <c r="E32" s="394"/>
      <c r="F32" s="58"/>
      <c r="G32" s="381"/>
      <c r="H32" s="382"/>
      <c r="I32" s="382"/>
      <c r="J32" s="383"/>
      <c r="K32" s="47"/>
      <c r="L32" s="146"/>
      <c r="M32" s="136"/>
      <c r="N32" s="134"/>
      <c r="O32" s="135"/>
      <c r="P32" s="148"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558</v>
      </c>
      <c r="E33" s="380"/>
      <c r="F33" s="58"/>
      <c r="G33" s="381"/>
      <c r="H33" s="382"/>
      <c r="I33" s="382"/>
      <c r="J33" s="383"/>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9" t="s">
        <v>558</v>
      </c>
      <c r="E34" s="380"/>
      <c r="F34" s="58"/>
      <c r="G34" s="381"/>
      <c r="H34" s="382"/>
      <c r="I34" s="382"/>
      <c r="J34" s="383"/>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t="s">
        <v>559</v>
      </c>
      <c r="E35" s="380"/>
      <c r="F35" s="58"/>
      <c r="G35" s="381"/>
      <c r="H35" s="382"/>
      <c r="I35" s="382"/>
      <c r="J35" s="383"/>
      <c r="K35" s="47"/>
      <c r="L35" s="146"/>
      <c r="M35" s="134"/>
      <c r="N35" s="134"/>
      <c r="O35" s="135"/>
      <c r="P35" s="148"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6" t="str">
        <f ca="1">D25</f>
        <v>Answer</v>
      </c>
      <c r="E37" s="386"/>
      <c r="F37" s="21"/>
      <c r="G37" s="55" t="str">
        <f ca="1">G25</f>
        <v>Comments</v>
      </c>
      <c r="H37" s="423"/>
      <c r="I37" s="423"/>
      <c r="J37" s="423"/>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t="s">
        <v>559</v>
      </c>
      <c r="E38" s="380"/>
      <c r="F38" s="58"/>
      <c r="G38" s="381"/>
      <c r="H38" s="382"/>
      <c r="I38" s="382"/>
      <c r="J38" s="383"/>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559</v>
      </c>
      <c r="E39" s="380"/>
      <c r="F39" s="58"/>
      <c r="G39" s="381"/>
      <c r="H39" s="382"/>
      <c r="I39" s="382"/>
      <c r="J39" s="383"/>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9" t="s">
        <v>559</v>
      </c>
      <c r="E40" s="380"/>
      <c r="F40" s="58"/>
      <c r="G40" s="381"/>
      <c r="H40" s="382"/>
      <c r="I40" s="382"/>
      <c r="J40" s="383"/>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t="s">
        <v>559</v>
      </c>
      <c r="E41" s="380"/>
      <c r="F41" s="58"/>
      <c r="G41" s="381"/>
      <c r="H41" s="382"/>
      <c r="I41" s="382"/>
      <c r="J41" s="383"/>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86" t="str">
        <f ca="1">D25</f>
        <v>Answer</v>
      </c>
      <c r="E43" s="386"/>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9" t="s">
        <v>559</v>
      </c>
      <c r="E44" s="380"/>
      <c r="F44" s="58"/>
      <c r="G44" s="381"/>
      <c r="H44" s="382"/>
      <c r="I44" s="382"/>
      <c r="J44" s="383"/>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9" t="s">
        <v>559</v>
      </c>
      <c r="E45" s="380"/>
      <c r="F45" s="58"/>
      <c r="G45" s="381"/>
      <c r="H45" s="382"/>
      <c r="I45" s="382"/>
      <c r="J45" s="383"/>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9" t="s">
        <v>559</v>
      </c>
      <c r="E46" s="380"/>
      <c r="F46" s="58"/>
      <c r="G46" s="381"/>
      <c r="H46" s="382"/>
      <c r="I46" s="382"/>
      <c r="J46" s="383"/>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9" t="s">
        <v>559</v>
      </c>
      <c r="E47" s="380"/>
      <c r="F47" s="58"/>
      <c r="G47" s="381"/>
      <c r="H47" s="382"/>
      <c r="I47" s="382"/>
      <c r="J47" s="383"/>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 xml:space="preserve">5) What percentage of relevant suppliers have provided a response to your supply chain survey? </v>
      </c>
      <c r="C49" s="13"/>
      <c r="D49" s="386" t="str">
        <f ca="1">D25</f>
        <v>Answer</v>
      </c>
      <c r="E49" s="386"/>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4">
        <v>1</v>
      </c>
      <c r="E50" s="385"/>
      <c r="F50" s="58"/>
      <c r="G50" s="381"/>
      <c r="H50" s="382"/>
      <c r="I50" s="382"/>
      <c r="J50" s="383"/>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4">
        <v>1</v>
      </c>
      <c r="E51" s="385"/>
      <c r="F51" s="58"/>
      <c r="G51" s="381"/>
      <c r="H51" s="382"/>
      <c r="I51" s="382"/>
      <c r="J51" s="383"/>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4">
        <v>1</v>
      </c>
      <c r="E52" s="385"/>
      <c r="F52" s="58"/>
      <c r="G52" s="381"/>
      <c r="H52" s="382"/>
      <c r="I52" s="382"/>
      <c r="J52" s="383"/>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4">
        <v>1</v>
      </c>
      <c r="E53" s="385"/>
      <c r="F53" s="58"/>
      <c r="G53" s="381"/>
      <c r="H53" s="382"/>
      <c r="I53" s="382"/>
      <c r="J53" s="383"/>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86" t="str">
        <f ca="1">D25</f>
        <v>Answer</v>
      </c>
      <c r="E55" s="386"/>
      <c r="F55" s="21"/>
      <c r="G55" s="55" t="str">
        <f ca="1">G25</f>
        <v>Comments</v>
      </c>
      <c r="H55" s="422"/>
      <c r="I55" s="422"/>
      <c r="J55" s="422"/>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3" t="s">
        <v>558</v>
      </c>
      <c r="E56" s="394"/>
      <c r="F56" s="58"/>
      <c r="G56" s="381"/>
      <c r="H56" s="382"/>
      <c r="I56" s="382"/>
      <c r="J56" s="383"/>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9" t="s">
        <v>558</v>
      </c>
      <c r="E57" s="380"/>
      <c r="F57" s="58"/>
      <c r="G57" s="381"/>
      <c r="H57" s="382"/>
      <c r="I57" s="382"/>
      <c r="J57" s="383"/>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9" t="s">
        <v>558</v>
      </c>
      <c r="E58" s="380"/>
      <c r="F58" s="58"/>
      <c r="G58" s="381"/>
      <c r="H58" s="382"/>
      <c r="I58" s="382"/>
      <c r="J58" s="383"/>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9" t="s">
        <v>558</v>
      </c>
      <c r="E59" s="380"/>
      <c r="F59" s="58"/>
      <c r="G59" s="381"/>
      <c r="H59" s="382"/>
      <c r="I59" s="382"/>
      <c r="J59" s="383"/>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86" t="str">
        <f ca="1">D25</f>
        <v>Answer</v>
      </c>
      <c r="E61" s="386"/>
      <c r="F61" s="21"/>
      <c r="G61" s="55" t="str">
        <f ca="1">G25</f>
        <v>Comments</v>
      </c>
      <c r="H61" s="422" t="str">
        <f>IF(Q69="(*)","Click here to enter smelter names","")</f>
        <v/>
      </c>
      <c r="I61" s="422"/>
      <c r="J61" s="422"/>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9" t="s">
        <v>558</v>
      </c>
      <c r="E62" s="380"/>
      <c r="F62" s="59"/>
      <c r="G62" s="381"/>
      <c r="H62" s="382"/>
      <c r="I62" s="382"/>
      <c r="J62" s="383"/>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9" t="s">
        <v>558</v>
      </c>
      <c r="E63" s="380"/>
      <c r="F63" s="59"/>
      <c r="G63" s="381"/>
      <c r="H63" s="382"/>
      <c r="I63" s="382"/>
      <c r="J63" s="383"/>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9" t="s">
        <v>558</v>
      </c>
      <c r="E64" s="380"/>
      <c r="F64" s="59"/>
      <c r="G64" s="381"/>
      <c r="H64" s="382"/>
      <c r="I64" s="382"/>
      <c r="J64" s="383"/>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9" t="s">
        <v>558</v>
      </c>
      <c r="E65" s="380"/>
      <c r="F65" s="61"/>
      <c r="G65" s="381"/>
      <c r="H65" s="382"/>
      <c r="I65" s="382"/>
      <c r="J65" s="383"/>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6" t="str">
        <f ca="1">OFFSET(L!$C$1,MATCH("Declaration"&amp;ADDRESS(ROW(),COLUMN(),4),L!$A:$A,0)-1,SL,,)</f>
        <v>Answer the Following Questions at a Company Level</v>
      </c>
      <c r="C67" s="436"/>
      <c r="D67" s="436"/>
      <c r="E67" s="436"/>
      <c r="F67" s="436"/>
      <c r="G67" s="436"/>
      <c r="H67" s="436"/>
      <c r="I67" s="436"/>
      <c r="J67" s="436"/>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5" t="str">
        <f ca="1">D25</f>
        <v>Answer</v>
      </c>
      <c r="E68" s="425"/>
      <c r="F68" s="64"/>
      <c r="G68" s="425" t="str">
        <f ca="1">G25</f>
        <v>Comments</v>
      </c>
      <c r="H68" s="425" t="e">
        <f>HLOOKUP(SL,LT,$O68,0)</f>
        <v>#NAME?</v>
      </c>
      <c r="I68" s="425"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9" t="s">
        <v>558</v>
      </c>
      <c r="E69" s="380"/>
      <c r="F69" s="68"/>
      <c r="G69" s="381"/>
      <c r="H69" s="382"/>
      <c r="I69" s="382"/>
      <c r="J69" s="383"/>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6"/>
      <c r="H70" s="426"/>
      <c r="I70" s="426"/>
      <c r="J70" s="426"/>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9" t="s">
        <v>558</v>
      </c>
      <c r="E71" s="380"/>
      <c r="F71" s="68"/>
      <c r="G71" s="395" t="s">
        <v>15505</v>
      </c>
      <c r="H71" s="396"/>
      <c r="I71" s="396"/>
      <c r="J71" s="39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9" t="s">
        <v>558</v>
      </c>
      <c r="E73" s="380"/>
      <c r="F73" s="68"/>
      <c r="G73" s="381"/>
      <c r="H73" s="382"/>
      <c r="I73" s="382"/>
      <c r="J73" s="383"/>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9" t="s">
        <v>558</v>
      </c>
      <c r="E75" s="380"/>
      <c r="F75" s="68"/>
      <c r="G75" s="381"/>
      <c r="H75" s="382"/>
      <c r="I75" s="382"/>
      <c r="J75" s="383"/>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9" t="s">
        <v>558</v>
      </c>
      <c r="E77" s="380"/>
      <c r="F77" s="68"/>
      <c r="G77" s="381"/>
      <c r="H77" s="382"/>
      <c r="I77" s="382"/>
      <c r="J77" s="383"/>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433" t="s">
        <v>13268</v>
      </c>
      <c r="E79" s="434"/>
      <c r="F79" s="68"/>
      <c r="G79" s="381" t="s">
        <v>15506</v>
      </c>
      <c r="H79" s="382"/>
      <c r="I79" s="382"/>
      <c r="J79" s="383"/>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6"/>
      <c r="H80" s="426"/>
      <c r="I80" s="426"/>
      <c r="J80" s="426"/>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9" t="s">
        <v>558</v>
      </c>
      <c r="E81" s="380"/>
      <c r="F81" s="68"/>
      <c r="G81" s="381"/>
      <c r="H81" s="382"/>
      <c r="I81" s="382"/>
      <c r="J81" s="383"/>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5"/>
      <c r="H82" s="435"/>
      <c r="I82" s="435"/>
      <c r="J82" s="435"/>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9" t="s">
        <v>558</v>
      </c>
      <c r="E83" s="380"/>
      <c r="F83" s="68"/>
      <c r="G83" s="381"/>
      <c r="H83" s="382"/>
      <c r="I83" s="382"/>
      <c r="J83" s="383"/>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9" t="s">
        <v>559</v>
      </c>
      <c r="E85" s="380"/>
      <c r="F85" s="68"/>
      <c r="G85" s="381"/>
      <c r="H85" s="382"/>
      <c r="I85" s="382"/>
      <c r="J85" s="383"/>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2" t="str">
        <f>IF(OR($D$8="",$I$3=""),"","Click here to check required fields completion")</f>
        <v/>
      </c>
      <c r="C86" s="432"/>
      <c r="D86" s="432"/>
      <c r="E86" s="432"/>
      <c r="F86" s="432"/>
      <c r="G86" s="432"/>
      <c r="H86" s="432"/>
      <c r="I86" s="432"/>
      <c r="J86" s="432"/>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30" t="str">
        <f ca="1">OFFSET(L!$C$1,MATCH("General"&amp;"Cpy",L!$A:$A,0)-1,SL,,)</f>
        <v>© 2019 Responsible Minerals Initiative. All rights reserved.</v>
      </c>
      <c r="B87" s="431"/>
      <c r="C87" s="431"/>
      <c r="D87" s="431"/>
      <c r="E87" s="431"/>
      <c r="F87" s="431"/>
      <c r="G87" s="431"/>
      <c r="H87" s="431"/>
      <c r="I87" s="431"/>
      <c r="J87" s="431"/>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339" priority="52" stopIfTrue="1">
      <formula>AND(OR($D$26="No",AND($D$26="Yes",$D$32="No")),OR($D$27="No",AND($D$27="Yes",$D$33="No")), OR($D$28="No",AND($D$28="Yes",$D$34="No")), OR($D$29="No",AND($D$29="Yes",$D$35="No")))</formula>
    </cfRule>
    <cfRule type="expression" dxfId="338" priority="53" stopIfTrue="1">
      <formula>IF(D69="",TRUE)</formula>
    </cfRule>
  </conditionalFormatting>
  <conditionalFormatting sqref="D26:E26">
    <cfRule type="expression" dxfId="337" priority="104" stopIfTrue="1">
      <formula>IF($D$26="",TRUE)</formula>
    </cfRule>
  </conditionalFormatting>
  <conditionalFormatting sqref="D27:E27">
    <cfRule type="expression" dxfId="336" priority="111" stopIfTrue="1">
      <formula>IF($D$27="",TRUE)</formula>
    </cfRule>
  </conditionalFormatting>
  <conditionalFormatting sqref="D28:E28">
    <cfRule type="expression" dxfId="335" priority="112" stopIfTrue="1">
      <formula>IF($D$28="",TRUE)</formula>
    </cfRule>
  </conditionalFormatting>
  <conditionalFormatting sqref="D29:E29">
    <cfRule type="expression" dxfId="334" priority="113" stopIfTrue="1">
      <formula>IF($D$29="",TRUE)</formula>
    </cfRule>
  </conditionalFormatting>
  <conditionalFormatting sqref="D8:J8">
    <cfRule type="expression" dxfId="333" priority="118" stopIfTrue="1">
      <formula>IF($D$8="",TRUE)</formula>
    </cfRule>
  </conditionalFormatting>
  <conditionalFormatting sqref="D9:G9">
    <cfRule type="expression" dxfId="332" priority="119" stopIfTrue="1">
      <formula>IF($D$9="",TRUE)</formula>
    </cfRule>
  </conditionalFormatting>
  <conditionalFormatting sqref="D15:J15">
    <cfRule type="expression" dxfId="331" priority="120" stopIfTrue="1">
      <formula>IF($D$15="",TRUE)</formula>
    </cfRule>
  </conditionalFormatting>
  <conditionalFormatting sqref="D16:J16">
    <cfRule type="expression" dxfId="330" priority="121" stopIfTrue="1">
      <formula>IF($D$16="",TRUE)</formula>
    </cfRule>
  </conditionalFormatting>
  <conditionalFormatting sqref="D17:J17">
    <cfRule type="expression" dxfId="329" priority="122" stopIfTrue="1">
      <formula>IF($D$17="",TRUE)</formula>
    </cfRule>
  </conditionalFormatting>
  <conditionalFormatting sqref="D18:J18">
    <cfRule type="expression" dxfId="328" priority="123" stopIfTrue="1">
      <formula>IF($D$18="",TRUE)</formula>
    </cfRule>
  </conditionalFormatting>
  <conditionalFormatting sqref="D22:E22">
    <cfRule type="expression" dxfId="327" priority="126" stopIfTrue="1">
      <formula>IF($D$22="",TRUE)</formula>
    </cfRule>
  </conditionalFormatting>
  <conditionalFormatting sqref="D10:J10">
    <cfRule type="expression" dxfId="326" priority="23" stopIfTrue="1">
      <formula>IF($D$9=$Q$9,TRUE)</formula>
    </cfRule>
    <cfRule type="expression" dxfId="325" priority="133" stopIfTrue="1">
      <formula>IF(AND($D$10="",$D$9=$R$9),TRUE)</formula>
    </cfRule>
  </conditionalFormatting>
  <conditionalFormatting sqref="D34:E34 D40:E40 D46:E46 D52:E52 D58:E58 D64:E64">
    <cfRule type="expression" dxfId="324" priority="16" stopIfTrue="1">
      <formula>$P$28=""</formula>
    </cfRule>
  </conditionalFormatting>
  <conditionalFormatting sqref="D35:E35 D41:E41 D47:E47 D53:E53 D59:E59 D65:E65">
    <cfRule type="expression" dxfId="323" priority="131" stopIfTrue="1">
      <formula>$P$29=""</formula>
    </cfRule>
  </conditionalFormatting>
  <conditionalFormatting sqref="D32:E32">
    <cfRule type="expression" dxfId="322" priority="109" stopIfTrue="1">
      <formula>$P$26=""</formula>
    </cfRule>
  </conditionalFormatting>
  <conditionalFormatting sqref="D32:E32">
    <cfRule type="expression" dxfId="321" priority="22" stopIfTrue="1">
      <formula>IF(AND(OR($D$26="Yes",$D$26=""),$D$32=""),1,0)</formula>
    </cfRule>
  </conditionalFormatting>
  <conditionalFormatting sqref="D38 D44 D50 D56 D62">
    <cfRule type="expression" dxfId="320" priority="18" stopIfTrue="1">
      <formula>$P$32=""</formula>
    </cfRule>
  </conditionalFormatting>
  <conditionalFormatting sqref="D39:E39 D45 D51 D57 D63">
    <cfRule type="expression" dxfId="319" priority="17" stopIfTrue="1">
      <formula>$P$33=""</formula>
    </cfRule>
  </conditionalFormatting>
  <conditionalFormatting sqref="D40 D46 D52 D58 D64">
    <cfRule type="expression" dxfId="318" priority="7" stopIfTrue="1">
      <formula>$P$34=""</formula>
    </cfRule>
    <cfRule type="expression" dxfId="317" priority="129" stopIfTrue="1">
      <formula>IF(AND(OR($D$28="Yes",$D$28=""),D40=""),1,0)</formula>
    </cfRule>
  </conditionalFormatting>
  <conditionalFormatting sqref="D41 D47 D53 D59 D65">
    <cfRule type="expression" dxfId="316" priority="15" stopIfTrue="1">
      <formula>$P$35=""</formula>
    </cfRule>
  </conditionalFormatting>
  <conditionalFormatting sqref="D38:E38 D44:E44 D50:E50 D56:E56 D62:E62">
    <cfRule type="expression" dxfId="315" priority="20" stopIfTrue="1">
      <formula>$P$26=""</formula>
    </cfRule>
    <cfRule type="expression" dxfId="314" priority="21" stopIfTrue="1">
      <formula>IF(AND(OR($D$26="Yes",$D$26=""),D38=""),1,0)</formula>
    </cfRule>
  </conditionalFormatting>
  <conditionalFormatting sqref="G79:J79">
    <cfRule type="expression" dxfId="313" priority="14" stopIfTrue="1">
      <formula>IF(AND($D$79="Yes, using other format (describe)",$G$79=""),TRUE)</formula>
    </cfRule>
  </conditionalFormatting>
  <conditionalFormatting sqref="D39:E39 D45:E45 D51:E51 D57:E57 D63:E63">
    <cfRule type="expression" dxfId="312" priority="127" stopIfTrue="1">
      <formula>$P$39=""</formula>
    </cfRule>
    <cfRule type="expression" dxfId="311" priority="128" stopIfTrue="1">
      <formula>IF(AND(OR($D$27="Yes",$D$27=""),D39=""),1,0)</formula>
    </cfRule>
  </conditionalFormatting>
  <conditionalFormatting sqref="D33:E33">
    <cfRule type="expression" dxfId="310" priority="9" stopIfTrue="1">
      <formula>IF(AND(OR($D$27="Yes",$D$27=""),$D$33=""),1,0)</formula>
    </cfRule>
    <cfRule type="expression" dxfId="309" priority="10" stopIfTrue="1">
      <formula>$P$27=""</formula>
    </cfRule>
  </conditionalFormatting>
  <conditionalFormatting sqref="D34:E34">
    <cfRule type="expression" dxfId="308" priority="130" stopIfTrue="1">
      <formula>IF(AND(OR($D$28="Yes",$D$28=""),$D$34=""),1,0)</formula>
    </cfRule>
  </conditionalFormatting>
  <conditionalFormatting sqref="D41:E41 D47:E47 D53:E53 D59:E59 D65:E65">
    <cfRule type="expression" dxfId="307" priority="132" stopIfTrue="1">
      <formula>IF(AND(OR($D$29="Yes",$D$29=""),D41=""),1,0)</formula>
    </cfRule>
  </conditionalFormatting>
  <conditionalFormatting sqref="D35:E35">
    <cfRule type="expression" dxfId="306" priority="6" stopIfTrue="1">
      <formula>IF(AND(OR($D$29="Yes",$D$29=""),$D$35=""),1,0)</formula>
    </cfRule>
  </conditionalFormatting>
  <conditionalFormatting sqref="D20:J20">
    <cfRule type="expression" dxfId="305" priority="2" stopIfTrue="1">
      <formula>IF($D$20="",TRUE)</formula>
    </cfRule>
  </conditionalFormatting>
  <conditionalFormatting sqref="D21:J21">
    <cfRule type="expression" dxfId="304" priority="3" stopIfTrue="1">
      <formula>IF($D$21="",TRUE)</formula>
    </cfRule>
  </conditionalFormatting>
  <conditionalFormatting sqref="G71:J71">
    <cfRule type="expression" dxfId="303"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Normal="100" zoomScalePageLayoutView="55" workbookViewId="0">
      <selection activeCell="H23" sqref="H23"/>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7" t="str">
        <f ca="1">OFFSET(L!$C$1,MATCH("Smelter List"&amp;ADDRESS(ROW(),COLUMN(),4),L!$A:$A,0)-1,SL,,)</f>
        <v>Link to "RMAP Conformant Smelter List"</v>
      </c>
      <c r="K2" s="438"/>
      <c r="L2" s="438"/>
      <c r="M2" s="438"/>
      <c r="N2" s="438"/>
      <c r="O2" s="438"/>
      <c r="P2" s="232"/>
      <c r="Q2" s="233"/>
      <c r="R2" s="234"/>
      <c r="S2" s="234"/>
      <c r="T2" s="234"/>
      <c r="U2" s="261"/>
      <c r="V2" s="261"/>
      <c r="W2" s="262"/>
      <c r="X2" s="261"/>
      <c r="Y2" s="261"/>
      <c r="Z2" s="261"/>
      <c r="AH2" s="178" t="s">
        <v>558</v>
      </c>
    </row>
    <row r="3" spans="1:34" s="263" customFormat="1" ht="255.6"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64"/>
      <c r="G3" s="440" t="str">
        <f ca="1">OFFSET(L!$C$1,MATCH("General"&amp;"Cpy",L!$A:$A,0)-1,SL,,)</f>
        <v>© 2019 Responsible Minerals Initiative. All rights reserved.</v>
      </c>
      <c r="H3" s="440"/>
      <c r="I3" s="441"/>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6.25" customHeight="1">
      <c r="A5" s="215" t="s">
        <v>745</v>
      </c>
      <c r="B5" s="216" t="s">
        <v>1250</v>
      </c>
      <c r="C5" s="347" t="s">
        <v>2906</v>
      </c>
      <c r="D5" s="216"/>
      <c r="E5" s="216" t="s">
        <v>1218</v>
      </c>
      <c r="F5" s="216" t="s">
        <v>745</v>
      </c>
      <c r="G5" s="216" t="s">
        <v>15507</v>
      </c>
      <c r="H5" s="217">
        <v>0</v>
      </c>
      <c r="I5" s="218" t="s">
        <v>1785</v>
      </c>
      <c r="J5" s="218" t="s">
        <v>1786</v>
      </c>
      <c r="K5" s="267"/>
      <c r="L5" s="267"/>
      <c r="M5" s="267"/>
      <c r="N5" s="267"/>
      <c r="O5" s="267"/>
      <c r="P5" s="219"/>
      <c r="Q5" s="268"/>
      <c r="R5" s="216" t="str">
        <f ca="1">IF(ISERROR($V5),"",OFFSET('Smelter Look-up'!$C$4,$V5-4,0)&amp;"")</f>
        <v>Argor-Heraeus S.A.</v>
      </c>
      <c r="S5" s="224" t="str">
        <f t="shared" ref="S5:S68" ca="1" si="0">IF(B5="","",IF(ISERROR(MATCH($E5,CL,0)),"Unknown",INDIRECT("'C'!$A$"&amp;MATCH($E5,CL,0)+1)))</f>
        <v>CH</v>
      </c>
      <c r="T5" s="224" t="str">
        <f ca="1">IF(B5="","",IF(ISERROR(MATCH($J5,SorP!$B$1:$B$6230,0)),"",INDIRECT("'SorP'!$A$"&amp;MATCH($J5,SorP!$B$1:$B$6230,0))))</f>
        <v>CH-TI</v>
      </c>
      <c r="U5" s="239"/>
      <c r="V5" s="269">
        <f>IF(C5="",NA(),MATCH($B5&amp;$C5,'Smelter Look-up'!$J:$J,0))</f>
        <v>23</v>
      </c>
      <c r="W5" s="270"/>
      <c r="X5" s="270">
        <f t="shared" ref="X5:X68" si="1">IF(AND(C5="Smelter not listed",OR(LEN(D5)=0,LEN(E5)=0)),1,0)</f>
        <v>0</v>
      </c>
      <c r="Y5" s="270"/>
      <c r="Z5" s="270"/>
      <c r="AB5" s="272" t="str">
        <f t="shared" ref="AB5:AB68" si="2">B5&amp;C5</f>
        <v>GoldArgor-Heraeus S.A.</v>
      </c>
    </row>
    <row r="6" spans="1:34" s="271" customFormat="1" ht="20.100000000000001" customHeight="1">
      <c r="A6" s="215" t="s">
        <v>816</v>
      </c>
      <c r="B6" s="216" t="s">
        <v>1250</v>
      </c>
      <c r="C6" s="347" t="s">
        <v>1029</v>
      </c>
      <c r="D6" s="216"/>
      <c r="E6" s="216" t="s">
        <v>1217</v>
      </c>
      <c r="F6" s="216" t="s">
        <v>816</v>
      </c>
      <c r="G6" s="216" t="s">
        <v>15507</v>
      </c>
      <c r="H6" s="217">
        <v>0</v>
      </c>
      <c r="I6" s="218" t="s">
        <v>1885</v>
      </c>
      <c r="J6" s="218" t="s">
        <v>1841</v>
      </c>
      <c r="K6" s="267"/>
      <c r="L6" s="267"/>
      <c r="M6" s="267"/>
      <c r="N6" s="267"/>
      <c r="O6" s="267"/>
      <c r="P6" s="219"/>
      <c r="Q6" s="268"/>
      <c r="R6" s="216" t="str">
        <f ca="1">IF(ISERROR($V6),"",OFFSET('Smelter Look-up'!$C$4,$V6-4,0)&amp;"")</f>
        <v>Royal Canadian Mint</v>
      </c>
      <c r="S6" s="224" t="str">
        <f t="shared" ca="1" si="0"/>
        <v>CA</v>
      </c>
      <c r="T6" s="224" t="str">
        <f ca="1">IF(B6="","",IF(ISERROR(MATCH($J6,SorP!$B$1:$B$6230,0)),"",INDIRECT("'SorP'!$A$"&amp;MATCH($J6,SorP!$B$1:$B$6230,0))))</f>
        <v>CA-ON</v>
      </c>
      <c r="U6" s="239"/>
      <c r="V6" s="269">
        <f>IF(C6="",NA(),MATCH($B6&amp;$C6,'Smelter Look-up'!$J:$J,0))</f>
        <v>194</v>
      </c>
      <c r="W6" s="270"/>
      <c r="X6" s="270">
        <f t="shared" si="1"/>
        <v>0</v>
      </c>
      <c r="Y6" s="270"/>
      <c r="Z6" s="270"/>
      <c r="AB6" s="272" t="str">
        <f t="shared" si="2"/>
        <v>GoldRoyal Canadian Mint</v>
      </c>
    </row>
    <row r="7" spans="1:34" s="271" customFormat="1" ht="30" customHeight="1">
      <c r="A7" s="215" t="s">
        <v>834</v>
      </c>
      <c r="B7" s="216" t="s">
        <v>1250</v>
      </c>
      <c r="C7" s="347" t="s">
        <v>3180</v>
      </c>
      <c r="D7" s="216"/>
      <c r="E7" s="216" t="s">
        <v>1213</v>
      </c>
      <c r="F7" s="216" t="s">
        <v>834</v>
      </c>
      <c r="G7" s="216" t="s">
        <v>15507</v>
      </c>
      <c r="H7" s="217">
        <v>0</v>
      </c>
      <c r="I7" s="218" t="s">
        <v>1921</v>
      </c>
      <c r="J7" s="218" t="s">
        <v>1922</v>
      </c>
      <c r="K7" s="267"/>
      <c r="L7" s="267"/>
      <c r="M7" s="267"/>
      <c r="N7" s="267"/>
      <c r="O7" s="267"/>
      <c r="P7" s="219"/>
      <c r="Q7" s="268"/>
      <c r="R7" s="216" t="str">
        <f ca="1">IF(ISERROR($V7),"",OFFSET('Smelter Look-up'!$C$4,$V7-4,0)&amp;"")</f>
        <v>Western Australian Mint (T/a The Perth Mint)</v>
      </c>
      <c r="S7" s="224" t="str">
        <f t="shared" ca="1" si="0"/>
        <v>AU</v>
      </c>
      <c r="T7" s="224" t="str">
        <f ca="1">IF(B7="","",IF(ISERROR(MATCH($J7,SorP!$B$1:$B$6230,0)),"",INDIRECT("'SorP'!$A$"&amp;MATCH($J7,SorP!$B$1:$B$6230,0))))</f>
        <v>AU-WA</v>
      </c>
      <c r="U7" s="239"/>
      <c r="V7" s="269">
        <f>IF(C7="",NA(),MATCH($B7&amp;$C7,'Smelter Look-up'!$J:$J,0))</f>
        <v>262</v>
      </c>
      <c r="W7" s="270"/>
      <c r="X7" s="270">
        <f t="shared" si="1"/>
        <v>0</v>
      </c>
      <c r="Y7" s="270"/>
      <c r="Z7" s="270"/>
      <c r="AB7" s="272" t="str">
        <f t="shared" si="2"/>
        <v>GoldWestern Australian Mint (T/a The Perth Mint)</v>
      </c>
    </row>
    <row r="8" spans="1:34" s="271" customFormat="1" ht="41.25" customHeight="1">
      <c r="A8" s="215" t="s">
        <v>787</v>
      </c>
      <c r="B8" s="216" t="s">
        <v>1250</v>
      </c>
      <c r="C8" s="347" t="s">
        <v>786</v>
      </c>
      <c r="D8" s="216"/>
      <c r="E8" s="216" t="s">
        <v>3092</v>
      </c>
      <c r="F8" s="216" t="s">
        <v>787</v>
      </c>
      <c r="G8" s="216" t="s">
        <v>15507</v>
      </c>
      <c r="H8" s="217">
        <v>0</v>
      </c>
      <c r="I8" s="218" t="s">
        <v>1845</v>
      </c>
      <c r="J8" s="218" t="s">
        <v>1838</v>
      </c>
      <c r="K8" s="267"/>
      <c r="L8" s="267"/>
      <c r="M8" s="267"/>
      <c r="N8" s="267"/>
      <c r="O8" s="267"/>
      <c r="P8" s="219"/>
      <c r="Q8" s="268"/>
      <c r="R8" s="216" t="str">
        <f ca="1">IF(ISERROR($V8),"",OFFSET('Smelter Look-up'!$C$4,$V8-4,0)&amp;"")</f>
        <v>Kennecott Utah Copper LLC</v>
      </c>
      <c r="S8" s="224" t="str">
        <f t="shared" ca="1" si="0"/>
        <v>US</v>
      </c>
      <c r="T8" s="224" t="str">
        <f ca="1">IF(B8="","",IF(ISERROR(MATCH($J8,SorP!$B$1:$B$6230,0)),"",INDIRECT("'SorP'!$A$"&amp;MATCH($J8,SorP!$B$1:$B$6230,0))))</f>
        <v>US-UT</v>
      </c>
      <c r="U8" s="239"/>
      <c r="V8" s="269">
        <f>IF(C8="",NA(),MATCH($B8&amp;$C8,'Smelter Look-up'!$J:$J,0))</f>
        <v>117</v>
      </c>
      <c r="W8" s="270"/>
      <c r="X8" s="270">
        <f t="shared" si="1"/>
        <v>0</v>
      </c>
      <c r="Y8" s="270"/>
      <c r="Z8" s="270"/>
      <c r="AB8" s="272" t="str">
        <f t="shared" si="2"/>
        <v>GoldKennecott Utah Copper LLC</v>
      </c>
    </row>
    <row r="9" spans="1:34" s="271" customFormat="1" ht="20.100000000000001" customHeight="1">
      <c r="A9" s="215" t="s">
        <v>870</v>
      </c>
      <c r="B9" s="216" t="s">
        <v>1251</v>
      </c>
      <c r="C9" s="347" t="s">
        <v>1457</v>
      </c>
      <c r="D9" s="216"/>
      <c r="E9" s="216" t="s">
        <v>1220</v>
      </c>
      <c r="F9" s="216" t="s">
        <v>870</v>
      </c>
      <c r="G9" s="216" t="s">
        <v>15507</v>
      </c>
      <c r="H9" s="217">
        <v>0</v>
      </c>
      <c r="I9" s="218" t="s">
        <v>2026</v>
      </c>
      <c r="J9" s="218" t="s">
        <v>15508</v>
      </c>
      <c r="K9" s="267"/>
      <c r="L9" s="267"/>
      <c r="M9" s="267"/>
      <c r="N9" s="267"/>
      <c r="O9" s="267"/>
      <c r="P9" s="219"/>
      <c r="Q9" s="268"/>
      <c r="R9" s="216" t="str">
        <f ca="1">IF(ISERROR($V9),"",OFFSET('Smelter Look-up'!$C$4,$V9-4,0)&amp;"")</f>
        <v>China Tin Group Co., Ltd.</v>
      </c>
      <c r="S9" s="224" t="str">
        <f t="shared" ca="1" si="0"/>
        <v>CN</v>
      </c>
      <c r="T9" s="224" t="str">
        <f ca="1">IF(B9="","",IF(ISERROR(MATCH($J9,SorP!$B$1:$B$6230,0)),"",INDIRECT("'SorP'!$A$"&amp;MATCH($J9,SorP!$B$1:$B$6230,0))))</f>
        <v/>
      </c>
      <c r="U9" s="239"/>
      <c r="V9" s="269">
        <f>IF(C9="",NA(),MATCH($B9&amp;$C9,'Smelter Look-up'!$J:$J,0))</f>
        <v>362</v>
      </c>
      <c r="W9" s="270"/>
      <c r="X9" s="270">
        <f t="shared" si="1"/>
        <v>0</v>
      </c>
      <c r="Y9" s="270"/>
      <c r="Z9" s="270"/>
      <c r="AB9" s="272" t="str">
        <f t="shared" si="2"/>
        <v>TinChina Tin Group Co., Ltd.</v>
      </c>
    </row>
    <row r="10" spans="1:34" s="271" customFormat="1" ht="20.100000000000001" customHeight="1">
      <c r="A10" s="215" t="s">
        <v>862</v>
      </c>
      <c r="B10" s="216" t="s">
        <v>1251</v>
      </c>
      <c r="C10" s="347" t="s">
        <v>956</v>
      </c>
      <c r="D10" s="216"/>
      <c r="E10" s="216" t="s">
        <v>1225</v>
      </c>
      <c r="F10" s="216" t="s">
        <v>862</v>
      </c>
      <c r="G10" s="216" t="s">
        <v>15507</v>
      </c>
      <c r="H10" s="217">
        <v>0</v>
      </c>
      <c r="I10" s="218" t="s">
        <v>2017</v>
      </c>
      <c r="J10" s="218" t="s">
        <v>13917</v>
      </c>
      <c r="K10" s="267"/>
      <c r="L10" s="267"/>
      <c r="M10" s="267"/>
      <c r="N10" s="267"/>
      <c r="O10" s="267"/>
      <c r="P10" s="219"/>
      <c r="Q10" s="268"/>
      <c r="R10" s="216" t="str">
        <f ca="1">IF(ISERROR($V10),"",OFFSET('Smelter Look-up'!$C$4,$V10-4,0)&amp;"")</f>
        <v>CV United Smelting</v>
      </c>
      <c r="S10" s="224" t="str">
        <f t="shared" ca="1" si="0"/>
        <v>ID</v>
      </c>
      <c r="T10" s="224" t="str">
        <f ca="1">IF(B10="","",IF(ISERROR(MATCH($J10,SorP!$B$1:$B$6230,0)),"",INDIRECT("'SorP'!$A$"&amp;MATCH($J10,SorP!$B$1:$B$6230,0))))</f>
        <v>ID-BB</v>
      </c>
      <c r="U10" s="239"/>
      <c r="V10" s="269">
        <f>IF(C10="",NA(),MATCH($B10&amp;$C10,'Smelter Look-up'!$J:$J,0))</f>
        <v>374</v>
      </c>
      <c r="W10" s="270"/>
      <c r="X10" s="270">
        <f t="shared" si="1"/>
        <v>0</v>
      </c>
      <c r="Y10" s="270"/>
      <c r="Z10" s="270"/>
      <c r="AB10" s="272" t="str">
        <f t="shared" si="2"/>
        <v>TinCV United Smelting</v>
      </c>
    </row>
    <row r="11" spans="1:34" s="271" customFormat="1" ht="20.100000000000001" customHeight="1">
      <c r="A11" s="215" t="s">
        <v>863</v>
      </c>
      <c r="B11" s="216" t="s">
        <v>1251</v>
      </c>
      <c r="C11" s="347" t="s">
        <v>957</v>
      </c>
      <c r="D11" s="216"/>
      <c r="E11" s="216" t="s">
        <v>3090</v>
      </c>
      <c r="F11" s="216" t="s">
        <v>863</v>
      </c>
      <c r="G11" s="216" t="s">
        <v>15507</v>
      </c>
      <c r="H11" s="217">
        <v>0</v>
      </c>
      <c r="I11" s="218" t="s">
        <v>2019</v>
      </c>
      <c r="J11" s="218" t="s">
        <v>2019</v>
      </c>
      <c r="K11" s="267"/>
      <c r="L11" s="267"/>
      <c r="M11" s="267"/>
      <c r="N11" s="267"/>
      <c r="O11" s="267"/>
      <c r="P11" s="219"/>
      <c r="Q11" s="268"/>
      <c r="R11" s="216" t="str">
        <f ca="1">IF(ISERROR($V11),"",OFFSET('Smelter Look-up'!$C$4,$V11-4,0)&amp;"")</f>
        <v>EM Vinto</v>
      </c>
      <c r="S11" s="224" t="str">
        <f t="shared" ca="1" si="0"/>
        <v>BO</v>
      </c>
      <c r="T11" s="224" t="str">
        <f ca="1">IF(B11="","",IF(ISERROR(MATCH($J11,SorP!$B$1:$B$6230,0)),"",INDIRECT("'SorP'!$A$"&amp;MATCH($J11,SorP!$B$1:$B$6230,0))))</f>
        <v>BO-O</v>
      </c>
      <c r="U11" s="239"/>
      <c r="V11" s="269">
        <f>IF(C11="",NA(),MATCH($B11&amp;$C11,'Smelter Look-up'!$J:$J,0))</f>
        <v>380</v>
      </c>
      <c r="W11" s="270"/>
      <c r="X11" s="270">
        <f t="shared" si="1"/>
        <v>0</v>
      </c>
      <c r="Y11" s="270"/>
      <c r="Z11" s="270"/>
      <c r="AB11" s="272" t="str">
        <f t="shared" si="2"/>
        <v>TinEM Vinto</v>
      </c>
    </row>
    <row r="12" spans="1:34" s="271" customFormat="1" ht="25.5">
      <c r="A12" s="215" t="s">
        <v>865</v>
      </c>
      <c r="B12" s="216" t="s">
        <v>1251</v>
      </c>
      <c r="C12" s="347" t="s">
        <v>926</v>
      </c>
      <c r="D12" s="216"/>
      <c r="E12" s="216" t="s">
        <v>998</v>
      </c>
      <c r="F12" s="216" t="s">
        <v>865</v>
      </c>
      <c r="G12" s="216" t="s">
        <v>15507</v>
      </c>
      <c r="H12" s="217">
        <v>0</v>
      </c>
      <c r="I12" s="218" t="s">
        <v>2022</v>
      </c>
      <c r="J12" s="218" t="s">
        <v>10373</v>
      </c>
      <c r="K12" s="267"/>
      <c r="L12" s="267"/>
      <c r="M12" s="267"/>
      <c r="N12" s="267"/>
      <c r="O12" s="267"/>
      <c r="P12" s="219"/>
      <c r="Q12" s="268"/>
      <c r="R12" s="216" t="str">
        <f ca="1">IF(ISERROR($V12),"",OFFSET('Smelter Look-up'!$C$4,$V12-4,0)&amp;"")</f>
        <v>Fenix Metals</v>
      </c>
      <c r="S12" s="224" t="str">
        <f t="shared" ca="1" si="0"/>
        <v>PL</v>
      </c>
      <c r="T12" s="224" t="str">
        <f ca="1">IF(B12="","",IF(ISERROR(MATCH($J12,SorP!$B$1:$B$6230,0)),"",INDIRECT("'SorP'!$A$"&amp;MATCH($J12,SorP!$B$1:$B$6230,0))))</f>
        <v>PL-18</v>
      </c>
      <c r="U12" s="239"/>
      <c r="V12" s="269">
        <f>IF(C12="",NA(),MATCH($B12&amp;$C12,'Smelter Look-up'!$J:$J,0))</f>
        <v>386</v>
      </c>
      <c r="W12" s="270"/>
      <c r="X12" s="270">
        <f t="shared" si="1"/>
        <v>0</v>
      </c>
      <c r="Y12" s="270"/>
      <c r="Z12" s="270"/>
      <c r="AB12" s="272" t="str">
        <f t="shared" si="2"/>
        <v>TinFenix Metals</v>
      </c>
    </row>
    <row r="13" spans="1:34" s="271" customFormat="1" ht="76.5">
      <c r="A13" s="215" t="s">
        <v>871</v>
      </c>
      <c r="B13" s="216" t="s">
        <v>1251</v>
      </c>
      <c r="C13" s="347" t="s">
        <v>934</v>
      </c>
      <c r="D13" s="216"/>
      <c r="E13" s="216" t="s">
        <v>1235</v>
      </c>
      <c r="F13" s="216" t="s">
        <v>871</v>
      </c>
      <c r="G13" s="216" t="s">
        <v>15507</v>
      </c>
      <c r="H13" s="217">
        <v>0</v>
      </c>
      <c r="I13" s="218" t="s">
        <v>2031</v>
      </c>
      <c r="J13" s="218" t="s">
        <v>9530</v>
      </c>
      <c r="K13" s="267"/>
      <c r="L13" s="267"/>
      <c r="M13" s="267"/>
      <c r="N13" s="267"/>
      <c r="O13" s="267"/>
      <c r="P13" s="219"/>
      <c r="Q13" s="268"/>
      <c r="R13" s="216" t="str">
        <f ca="1">IF(ISERROR($V13),"",OFFSET('Smelter Look-up'!$C$4,$V13-4,0)&amp;"")</f>
        <v>Malaysia Smelting Corporation (MSC)</v>
      </c>
      <c r="S13" s="224" t="str">
        <f t="shared" ca="1" si="0"/>
        <v>MY</v>
      </c>
      <c r="T13" s="224" t="str">
        <f ca="1">IF(B13="","",IF(ISERROR(MATCH($J13,SorP!$B$1:$B$6230,0)),"",INDIRECT("'SorP'!$A$"&amp;MATCH($J13,SorP!$B$1:$B$6230,0))))</f>
        <v>MY-07</v>
      </c>
      <c r="U13" s="239"/>
      <c r="V13" s="269">
        <f>IF(C13="",NA(),MATCH($B13&amp;$C13,'Smelter Look-up'!$J:$J,0))</f>
        <v>418</v>
      </c>
      <c r="W13" s="270"/>
      <c r="X13" s="270">
        <f t="shared" si="1"/>
        <v>0</v>
      </c>
      <c r="Y13" s="270"/>
      <c r="Z13" s="270"/>
      <c r="AB13" s="272" t="str">
        <f t="shared" si="2"/>
        <v>TinMalaysia Smelting Corporation (MSC)</v>
      </c>
    </row>
    <row r="14" spans="1:34" s="271" customFormat="1" ht="51">
      <c r="A14" s="215" t="s">
        <v>2073</v>
      </c>
      <c r="B14" s="216" t="s">
        <v>1251</v>
      </c>
      <c r="C14" s="347" t="s">
        <v>14009</v>
      </c>
      <c r="D14" s="216"/>
      <c r="E14" s="216" t="s">
        <v>1215</v>
      </c>
      <c r="F14" s="216" t="s">
        <v>2073</v>
      </c>
      <c r="G14" s="216" t="s">
        <v>15507</v>
      </c>
      <c r="H14" s="217">
        <v>0</v>
      </c>
      <c r="I14" s="218" t="s">
        <v>2074</v>
      </c>
      <c r="J14" s="218" t="s">
        <v>3852</v>
      </c>
      <c r="K14" s="267"/>
      <c r="L14" s="267"/>
      <c r="M14" s="267"/>
      <c r="N14" s="267"/>
      <c r="O14" s="267"/>
      <c r="P14" s="219"/>
      <c r="Q14" s="268"/>
      <c r="R14" s="216" t="str">
        <f ca="1">IF(ISERROR($V14),"",OFFSET('Smelter Look-up'!$C$4,$V14-4,0)&amp;"")</f>
        <v>Metallo Belgium N.V.</v>
      </c>
      <c r="S14" s="224" t="str">
        <f t="shared" ca="1" si="0"/>
        <v>BE</v>
      </c>
      <c r="T14" s="224" t="str">
        <f ca="1">IF(B14="","",IF(ISERROR(MATCH($J14,SorP!$B$1:$B$6230,0)),"",INDIRECT("'SorP'!$A$"&amp;MATCH($J14,SorP!$B$1:$B$6230,0))))</f>
        <v>BE-VAN</v>
      </c>
      <c r="U14" s="239"/>
      <c r="V14" s="269">
        <f>IF(C14="",NA(),MATCH($B14&amp;$C14,'Smelter Look-up'!$J:$J,0))</f>
        <v>423</v>
      </c>
      <c r="W14" s="270"/>
      <c r="X14" s="270">
        <f t="shared" si="1"/>
        <v>0</v>
      </c>
      <c r="Y14" s="270"/>
      <c r="Z14" s="270"/>
      <c r="AB14" s="272" t="str">
        <f t="shared" si="2"/>
        <v>TinMetallo Belgium N.V.</v>
      </c>
    </row>
    <row r="15" spans="1:34" s="271" customFormat="1" ht="51">
      <c r="A15" s="215" t="s">
        <v>872</v>
      </c>
      <c r="B15" s="216" t="s">
        <v>1251</v>
      </c>
      <c r="C15" s="347" t="s">
        <v>13318</v>
      </c>
      <c r="D15" s="216"/>
      <c r="E15" s="216" t="s">
        <v>1216</v>
      </c>
      <c r="F15" s="216" t="s">
        <v>872</v>
      </c>
      <c r="G15" s="216" t="s">
        <v>15507</v>
      </c>
      <c r="H15" s="217">
        <v>0</v>
      </c>
      <c r="I15" s="218" t="s">
        <v>2034</v>
      </c>
      <c r="J15" s="218" t="s">
        <v>1916</v>
      </c>
      <c r="K15" s="267"/>
      <c r="L15" s="267"/>
      <c r="M15" s="267"/>
      <c r="N15" s="267"/>
      <c r="O15" s="267"/>
      <c r="P15" s="219"/>
      <c r="Q15" s="268"/>
      <c r="R15" s="216" t="str">
        <f ca="1">IF(ISERROR($V15),"",OFFSET('Smelter Look-up'!$C$4,$V15-4,0)&amp;"")</f>
        <v>Mineracao Taboca S.A.</v>
      </c>
      <c r="S15" s="224" t="str">
        <f t="shared" ca="1" si="0"/>
        <v>BR</v>
      </c>
      <c r="T15" s="224" t="str">
        <f ca="1">IF(B15="","",IF(ISERROR(MATCH($J15,SorP!$B$1:$B$6230,0)),"",INDIRECT("'SorP'!$A$"&amp;MATCH($J15,SorP!$B$1:$B$6230,0))))</f>
        <v>BR-SP</v>
      </c>
      <c r="U15" s="239"/>
      <c r="V15" s="269">
        <f>IF(C15="",NA(),MATCH($B15&amp;$C15,'Smelter Look-up'!$J:$J,0))</f>
        <v>425</v>
      </c>
      <c r="W15" s="270"/>
      <c r="X15" s="270">
        <f t="shared" si="1"/>
        <v>0</v>
      </c>
      <c r="Y15" s="270"/>
      <c r="Z15" s="270"/>
      <c r="AB15" s="272" t="str">
        <f t="shared" si="2"/>
        <v>TinMineracao Taboca S.A.</v>
      </c>
    </row>
    <row r="16" spans="1:34" s="271" customFormat="1" ht="25.5">
      <c r="A16" s="215" t="s">
        <v>873</v>
      </c>
      <c r="B16" s="216" t="s">
        <v>1251</v>
      </c>
      <c r="C16" s="347" t="s">
        <v>1151</v>
      </c>
      <c r="D16" s="216"/>
      <c r="E16" s="216" t="s">
        <v>996</v>
      </c>
      <c r="F16" s="216" t="s">
        <v>873</v>
      </c>
      <c r="G16" s="216" t="s">
        <v>15507</v>
      </c>
      <c r="H16" s="217">
        <v>0</v>
      </c>
      <c r="I16" s="218" t="s">
        <v>2036</v>
      </c>
      <c r="J16" s="218" t="s">
        <v>9985</v>
      </c>
      <c r="K16" s="267"/>
      <c r="L16" s="267"/>
      <c r="M16" s="267"/>
      <c r="N16" s="267"/>
      <c r="O16" s="267"/>
      <c r="P16" s="219"/>
      <c r="Q16" s="268"/>
      <c r="R16" s="216" t="str">
        <f ca="1">IF(ISERROR($V16),"",OFFSET('Smelter Look-up'!$C$4,$V16-4,0)&amp;"")</f>
        <v>Minsur</v>
      </c>
      <c r="S16" s="224" t="str">
        <f t="shared" ca="1" si="0"/>
        <v>PE</v>
      </c>
      <c r="T16" s="224" t="str">
        <f ca="1">IF(B16="","",IF(ISERROR(MATCH($J16,SorP!$B$1:$B$6230,0)),"",INDIRECT("'SorP'!$A$"&amp;MATCH($J16,SorP!$B$1:$B$6230,0))))</f>
        <v>PE-ICA</v>
      </c>
      <c r="U16" s="239"/>
      <c r="V16" s="269">
        <f>IF(C16="",NA(),MATCH($B16&amp;$C16,'Smelter Look-up'!$J:$J,0))</f>
        <v>428</v>
      </c>
      <c r="W16" s="270"/>
      <c r="X16" s="270">
        <f t="shared" si="1"/>
        <v>0</v>
      </c>
      <c r="Y16" s="270"/>
      <c r="Z16" s="270"/>
      <c r="AB16" s="272" t="str">
        <f t="shared" si="2"/>
        <v>TinMinsur</v>
      </c>
    </row>
    <row r="17" spans="1:28" s="271" customFormat="1" ht="63.75">
      <c r="A17" s="215" t="s">
        <v>877</v>
      </c>
      <c r="B17" s="216" t="s">
        <v>1251</v>
      </c>
      <c r="C17" s="347" t="s">
        <v>15509</v>
      </c>
      <c r="D17" s="216"/>
      <c r="E17" s="216" t="s">
        <v>3090</v>
      </c>
      <c r="F17" s="216" t="s">
        <v>877</v>
      </c>
      <c r="G17" s="216" t="s">
        <v>15507</v>
      </c>
      <c r="H17" s="217">
        <v>0</v>
      </c>
      <c r="I17" s="218" t="s">
        <v>2019</v>
      </c>
      <c r="J17" s="218" t="s">
        <v>2019</v>
      </c>
      <c r="K17" s="267"/>
      <c r="L17" s="267"/>
      <c r="M17" s="267"/>
      <c r="N17" s="267"/>
      <c r="O17" s="267"/>
      <c r="P17" s="219"/>
      <c r="Q17" s="268"/>
      <c r="R17" s="216" t="str">
        <f ca="1">IF(ISERROR($V17),"",OFFSET('Smelter Look-up'!$C$4,$V17-4,0)&amp;"")</f>
        <v/>
      </c>
      <c r="S17" s="224" t="str">
        <f t="shared" ca="1" si="0"/>
        <v>BO</v>
      </c>
      <c r="T17" s="224" t="str">
        <f ca="1">IF(B17="","",IF(ISERROR(MATCH($J17,SorP!$B$1:$B$6230,0)),"",INDIRECT("'SorP'!$A$"&amp;MATCH($J17,SorP!$B$1:$B$6230,0))))</f>
        <v>BO-O</v>
      </c>
      <c r="U17" s="239"/>
      <c r="V17" s="269" t="e">
        <f>IF(C17="",NA(),MATCH($B17&amp;$C17,'Smelter Look-up'!$J:$J,0))</f>
        <v>#N/A</v>
      </c>
      <c r="W17" s="270"/>
      <c r="X17" s="270">
        <f t="shared" si="1"/>
        <v>0</v>
      </c>
      <c r="Y17" s="270"/>
      <c r="Z17" s="270"/>
      <c r="AB17" s="272" t="str">
        <f t="shared" si="2"/>
        <v>TinOperaciones Metalurgical S.A.</v>
      </c>
    </row>
    <row r="18" spans="1:28" s="271" customFormat="1" ht="63.75">
      <c r="A18" s="215" t="s">
        <v>1545</v>
      </c>
      <c r="B18" s="216" t="s">
        <v>1251</v>
      </c>
      <c r="C18" s="347" t="s">
        <v>1544</v>
      </c>
      <c r="D18" s="216"/>
      <c r="E18" s="216" t="s">
        <v>1225</v>
      </c>
      <c r="F18" s="216" t="s">
        <v>1545</v>
      </c>
      <c r="G18" s="216" t="s">
        <v>15507</v>
      </c>
      <c r="H18" s="217">
        <v>0</v>
      </c>
      <c r="I18" s="218" t="s">
        <v>2015</v>
      </c>
      <c r="J18" s="218" t="s">
        <v>13917</v>
      </c>
      <c r="K18" s="267"/>
      <c r="L18" s="267"/>
      <c r="M18" s="267"/>
      <c r="N18" s="267"/>
      <c r="O18" s="267"/>
      <c r="P18" s="219"/>
      <c r="Q18" s="268"/>
      <c r="R18" s="216" t="str">
        <f ca="1">IF(ISERROR($V18),"",OFFSET('Smelter Look-up'!$C$4,$V18-4,0)&amp;"")</f>
        <v>PT ATD Makmur Mandiri Jaya</v>
      </c>
      <c r="S18" s="224" t="str">
        <f t="shared" ca="1" si="0"/>
        <v>ID</v>
      </c>
      <c r="T18" s="224" t="str">
        <f ca="1">IF(B18="","",IF(ISERROR(MATCH($J18,SorP!$B$1:$B$6230,0)),"",INDIRECT("'SorP'!$A$"&amp;MATCH($J18,SorP!$B$1:$B$6230,0))))</f>
        <v>ID-BB</v>
      </c>
      <c r="U18" s="239"/>
      <c r="V18" s="269">
        <f>IF(C18="",NA(),MATCH($B18&amp;$C18,'Smelter Look-up'!$J:$J,0))</f>
        <v>444</v>
      </c>
      <c r="W18" s="270"/>
      <c r="X18" s="270">
        <f t="shared" si="1"/>
        <v>0</v>
      </c>
      <c r="Y18" s="270"/>
      <c r="Z18" s="270"/>
      <c r="AB18" s="272" t="str">
        <f t="shared" si="2"/>
        <v>TinPT ATD Makmur Mandiri Jaya</v>
      </c>
    </row>
    <row r="19" spans="1:28" s="271" customFormat="1" ht="51">
      <c r="A19" s="215" t="s">
        <v>879</v>
      </c>
      <c r="B19" s="216" t="s">
        <v>1251</v>
      </c>
      <c r="C19" s="347" t="s">
        <v>960</v>
      </c>
      <c r="D19" s="216"/>
      <c r="E19" s="216" t="s">
        <v>1225</v>
      </c>
      <c r="F19" s="216" t="s">
        <v>879</v>
      </c>
      <c r="G19" s="216" t="s">
        <v>15507</v>
      </c>
      <c r="H19" s="217">
        <v>0</v>
      </c>
      <c r="I19" s="218" t="s">
        <v>2042</v>
      </c>
      <c r="J19" s="218" t="s">
        <v>13917</v>
      </c>
      <c r="K19" s="267"/>
      <c r="L19" s="267"/>
      <c r="M19" s="267"/>
      <c r="N19" s="267"/>
      <c r="O19" s="267"/>
      <c r="P19" s="219"/>
      <c r="Q19" s="268"/>
      <c r="R19" s="216" t="str">
        <f ca="1">IF(ISERROR($V19),"",OFFSET('Smelter Look-up'!$C$4,$V19-4,0)&amp;"")</f>
        <v>PT Babel Inti Perkasa</v>
      </c>
      <c r="S19" s="224" t="str">
        <f t="shared" ca="1" si="0"/>
        <v>ID</v>
      </c>
      <c r="T19" s="224" t="str">
        <f ca="1">IF(B19="","",IF(ISERROR(MATCH($J19,SorP!$B$1:$B$6230,0)),"",INDIRECT("'SorP'!$A$"&amp;MATCH($J19,SorP!$B$1:$B$6230,0))))</f>
        <v>ID-BB</v>
      </c>
      <c r="U19" s="239"/>
      <c r="V19" s="269">
        <f>IF(C19="",NA(),MATCH($B19&amp;$C19,'Smelter Look-up'!$J:$J,0))</f>
        <v>445</v>
      </c>
      <c r="W19" s="270"/>
      <c r="X19" s="270">
        <f t="shared" si="1"/>
        <v>0</v>
      </c>
      <c r="Y19" s="270"/>
      <c r="Z19" s="270"/>
      <c r="AB19" s="272" t="str">
        <f t="shared" si="2"/>
        <v>TinPT Babel Inti Perkasa</v>
      </c>
    </row>
    <row r="20" spans="1:28" s="271" customFormat="1" ht="51">
      <c r="A20" s="215" t="s">
        <v>880</v>
      </c>
      <c r="B20" s="216" t="s">
        <v>1251</v>
      </c>
      <c r="C20" s="347" t="s">
        <v>697</v>
      </c>
      <c r="D20" s="216"/>
      <c r="E20" s="216" t="s">
        <v>1225</v>
      </c>
      <c r="F20" s="216" t="s">
        <v>880</v>
      </c>
      <c r="G20" s="216" t="s">
        <v>15507</v>
      </c>
      <c r="H20" s="217">
        <v>0</v>
      </c>
      <c r="I20" s="218" t="s">
        <v>2015</v>
      </c>
      <c r="J20" s="218" t="s">
        <v>13917</v>
      </c>
      <c r="K20" s="267"/>
      <c r="L20" s="267"/>
      <c r="M20" s="267"/>
      <c r="N20" s="267"/>
      <c r="O20" s="267"/>
      <c r="P20" s="219"/>
      <c r="Q20" s="268"/>
      <c r="R20" s="216" t="str">
        <f ca="1">IF(ISERROR($V20),"",OFFSET('Smelter Look-up'!$C$4,$V20-4,0)&amp;"")</f>
        <v>PT Bangka Tin Industry</v>
      </c>
      <c r="S20" s="224" t="str">
        <f t="shared" ca="1" si="0"/>
        <v>ID</v>
      </c>
      <c r="T20" s="224" t="str">
        <f ca="1">IF(B20="","",IF(ISERROR(MATCH($J20,SorP!$B$1:$B$6230,0)),"",INDIRECT("'SorP'!$A$"&amp;MATCH($J20,SorP!$B$1:$B$6230,0))))</f>
        <v>ID-BB</v>
      </c>
      <c r="U20" s="239"/>
      <c r="V20" s="269">
        <f>IF(C20="",NA(),MATCH($B20&amp;$C20,'Smelter Look-up'!$J:$J,0))</f>
        <v>450</v>
      </c>
      <c r="W20" s="270"/>
      <c r="X20" s="270">
        <f t="shared" si="1"/>
        <v>0</v>
      </c>
      <c r="Y20" s="270"/>
      <c r="Z20" s="270"/>
      <c r="AB20" s="272" t="str">
        <f t="shared" si="2"/>
        <v>TinPT Bangka Tin Industry</v>
      </c>
    </row>
    <row r="21" spans="1:28" s="271" customFormat="1" ht="38.25">
      <c r="A21" s="215" t="s">
        <v>882</v>
      </c>
      <c r="B21" s="216" t="s">
        <v>1251</v>
      </c>
      <c r="C21" s="347" t="s">
        <v>716</v>
      </c>
      <c r="D21" s="216"/>
      <c r="E21" s="216" t="s">
        <v>1225</v>
      </c>
      <c r="F21" s="216" t="s">
        <v>882</v>
      </c>
      <c r="G21" s="216" t="s">
        <v>15507</v>
      </c>
      <c r="H21" s="217">
        <v>0</v>
      </c>
      <c r="I21" s="218" t="s">
        <v>2017</v>
      </c>
      <c r="J21" s="218" t="s">
        <v>13917</v>
      </c>
      <c r="K21" s="267"/>
      <c r="L21" s="267"/>
      <c r="M21" s="267"/>
      <c r="N21" s="267"/>
      <c r="O21" s="267"/>
      <c r="P21" s="219"/>
      <c r="Q21" s="268"/>
      <c r="R21" s="216" t="str">
        <f ca="1">IF(ISERROR($V21),"",OFFSET('Smelter Look-up'!$C$4,$V21-4,0)&amp;"")</f>
        <v>PT Bukit Timah</v>
      </c>
      <c r="S21" s="224" t="str">
        <f t="shared" ca="1" si="0"/>
        <v>ID</v>
      </c>
      <c r="T21" s="224" t="str">
        <f ca="1">IF(B21="","",IF(ISERROR(MATCH($J21,SorP!$B$1:$B$6230,0)),"",INDIRECT("'SorP'!$A$"&amp;MATCH($J21,SorP!$B$1:$B$6230,0))))</f>
        <v>ID-BB</v>
      </c>
      <c r="U21" s="239"/>
      <c r="V21" s="269">
        <f>IF(C21="",NA(),MATCH($B21&amp;$C21,'Smelter Look-up'!$J:$J,0))</f>
        <v>452</v>
      </c>
      <c r="W21" s="270"/>
      <c r="X21" s="270">
        <f t="shared" si="1"/>
        <v>0</v>
      </c>
      <c r="Y21" s="270"/>
      <c r="Z21" s="270"/>
      <c r="AB21" s="272" t="str">
        <f t="shared" si="2"/>
        <v>TinPT Bukit Timah</v>
      </c>
    </row>
    <row r="22" spans="1:28" s="271" customFormat="1" ht="51">
      <c r="A22" s="215" t="s">
        <v>885</v>
      </c>
      <c r="B22" s="216" t="s">
        <v>1251</v>
      </c>
      <c r="C22" s="347" t="s">
        <v>717</v>
      </c>
      <c r="D22" s="216"/>
      <c r="E22" s="216" t="s">
        <v>1225</v>
      </c>
      <c r="F22" s="216" t="s">
        <v>885</v>
      </c>
      <c r="G22" s="216" t="s">
        <v>15507</v>
      </c>
      <c r="H22" s="217">
        <v>0</v>
      </c>
      <c r="I22" s="218" t="s">
        <v>2015</v>
      </c>
      <c r="J22" s="218" t="s">
        <v>13917</v>
      </c>
      <c r="K22" s="267"/>
      <c r="L22" s="267"/>
      <c r="M22" s="267"/>
      <c r="N22" s="267"/>
      <c r="O22" s="267"/>
      <c r="P22" s="219"/>
      <c r="Q22" s="268"/>
      <c r="R22" s="216" t="str">
        <f ca="1">IF(ISERROR($V22),"",OFFSET('Smelter Look-up'!$C$4,$V22-4,0)&amp;"")</f>
        <v>PT Mitra Stania Prima</v>
      </c>
      <c r="S22" s="224" t="str">
        <f t="shared" ca="1" si="0"/>
        <v>ID</v>
      </c>
      <c r="T22" s="224" t="str">
        <f ca="1">IF(B22="","",IF(ISERROR(MATCH($J22,SorP!$B$1:$B$6230,0)),"",INDIRECT("'SorP'!$A$"&amp;MATCH($J22,SorP!$B$1:$B$6230,0))))</f>
        <v>ID-BB</v>
      </c>
      <c r="U22" s="239"/>
      <c r="V22" s="269">
        <f>IF(C22="",NA(),MATCH($B22&amp;$C22,'Smelter Look-up'!$J:$J,0))</f>
        <v>460</v>
      </c>
      <c r="W22" s="270"/>
      <c r="X22" s="270">
        <f t="shared" si="1"/>
        <v>0</v>
      </c>
      <c r="Y22" s="270"/>
      <c r="Z22" s="270"/>
      <c r="AB22" s="272" t="str">
        <f t="shared" si="2"/>
        <v>TinPT Mitra Stania Prima</v>
      </c>
    </row>
    <row r="23" spans="1:28" s="271" customFormat="1" ht="51">
      <c r="A23" s="215" t="s">
        <v>888</v>
      </c>
      <c r="B23" s="216" t="s">
        <v>1251</v>
      </c>
      <c r="C23" s="347" t="s">
        <v>2567</v>
      </c>
      <c r="D23" s="216"/>
      <c r="E23" s="216" t="s">
        <v>1225</v>
      </c>
      <c r="F23" s="216" t="s">
        <v>888</v>
      </c>
      <c r="G23" s="216" t="s">
        <v>15507</v>
      </c>
      <c r="H23" s="217">
        <v>0</v>
      </c>
      <c r="I23" s="218" t="s">
        <v>2015</v>
      </c>
      <c r="J23" s="218" t="s">
        <v>13917</v>
      </c>
      <c r="K23" s="267"/>
      <c r="L23" s="267"/>
      <c r="M23" s="267"/>
      <c r="N23" s="267"/>
      <c r="O23" s="267"/>
      <c r="P23" s="219"/>
      <c r="Q23" s="268"/>
      <c r="R23" s="216" t="str">
        <f ca="1">IF(ISERROR($V23),"",OFFSET('Smelter Look-up'!$C$4,$V23-4,0)&amp;"")</f>
        <v>PT Refined Bangka Tin</v>
      </c>
      <c r="S23" s="224" t="str">
        <f t="shared" ca="1" si="0"/>
        <v>ID</v>
      </c>
      <c r="T23" s="224" t="str">
        <f ca="1">IF(B23="","",IF(ISERROR(MATCH($J23,SorP!$B$1:$B$6230,0)),"",INDIRECT("'SorP'!$A$"&amp;MATCH($J23,SorP!$B$1:$B$6230,0))))</f>
        <v>ID-BB</v>
      </c>
      <c r="U23" s="239"/>
      <c r="V23" s="269">
        <f>IF(C23="",NA(),MATCH($B23&amp;$C23,'Smelter Look-up'!$J:$J,0))</f>
        <v>466</v>
      </c>
      <c r="W23" s="270"/>
      <c r="X23" s="270">
        <f t="shared" si="1"/>
        <v>0</v>
      </c>
      <c r="Y23" s="270"/>
      <c r="Z23" s="270"/>
      <c r="AB23" s="272" t="str">
        <f t="shared" si="2"/>
        <v>TinPT Refined Bangka Tin</v>
      </c>
    </row>
    <row r="24" spans="1:28" s="271" customFormat="1" ht="51">
      <c r="A24" s="215" t="s">
        <v>890</v>
      </c>
      <c r="B24" s="216" t="s">
        <v>1251</v>
      </c>
      <c r="C24" s="347" t="s">
        <v>1284</v>
      </c>
      <c r="D24" s="216"/>
      <c r="E24" s="216" t="s">
        <v>1225</v>
      </c>
      <c r="F24" s="216" t="s">
        <v>890</v>
      </c>
      <c r="G24" s="216" t="s">
        <v>15507</v>
      </c>
      <c r="H24" s="217">
        <v>0</v>
      </c>
      <c r="I24" s="218" t="s">
        <v>2017</v>
      </c>
      <c r="J24" s="218" t="s">
        <v>13917</v>
      </c>
      <c r="K24" s="267"/>
      <c r="L24" s="267"/>
      <c r="M24" s="267"/>
      <c r="N24" s="267"/>
      <c r="O24" s="267"/>
      <c r="P24" s="219"/>
      <c r="Q24" s="268"/>
      <c r="R24" s="216" t="str">
        <f ca="1">IF(ISERROR($V24),"",OFFSET('Smelter Look-up'!$C$4,$V24-4,0)&amp;"")</f>
        <v>PT Stanindo Inti Perkasa</v>
      </c>
      <c r="S24" s="224" t="str">
        <f t="shared" ca="1" si="0"/>
        <v>ID</v>
      </c>
      <c r="T24" s="224" t="str">
        <f ca="1">IF(B24="","",IF(ISERROR(MATCH($J24,SorP!$B$1:$B$6230,0)),"",INDIRECT("'SorP'!$A$"&amp;MATCH($J24,SorP!$B$1:$B$6230,0))))</f>
        <v>ID-BB</v>
      </c>
      <c r="U24" s="239"/>
      <c r="V24" s="269">
        <f>IF(C24="",NA(),MATCH($B24&amp;$C24,'Smelter Look-up'!$J:$J,0))</f>
        <v>468</v>
      </c>
      <c r="W24" s="270"/>
      <c r="X24" s="270">
        <f t="shared" si="1"/>
        <v>0</v>
      </c>
      <c r="Y24" s="270"/>
      <c r="Z24" s="270"/>
      <c r="AB24" s="272" t="str">
        <f t="shared" si="2"/>
        <v>TinPT Stanindo Inti Perkasa</v>
      </c>
    </row>
    <row r="25" spans="1:28" s="271" customFormat="1" ht="63.75">
      <c r="A25" s="215" t="s">
        <v>914</v>
      </c>
      <c r="B25" s="216" t="s">
        <v>1251</v>
      </c>
      <c r="C25" s="347" t="s">
        <v>15510</v>
      </c>
      <c r="D25" s="216"/>
      <c r="E25" s="216" t="s">
        <v>1225</v>
      </c>
      <c r="F25" s="216" t="s">
        <v>914</v>
      </c>
      <c r="G25" s="216" t="s">
        <v>15507</v>
      </c>
      <c r="H25" s="217">
        <v>0</v>
      </c>
      <c r="I25" s="218" t="s">
        <v>2047</v>
      </c>
      <c r="J25" s="218" t="s">
        <v>6797</v>
      </c>
      <c r="K25" s="267"/>
      <c r="L25" s="267"/>
      <c r="M25" s="267"/>
      <c r="N25" s="267"/>
      <c r="O25" s="267"/>
      <c r="P25" s="219"/>
      <c r="Q25" s="268"/>
      <c r="R25" s="216" t="str">
        <f ca="1">IF(ISERROR($V25),"",OFFSET('Smelter Look-up'!$C$4,$V25-4,0)&amp;"")</f>
        <v/>
      </c>
      <c r="S25" s="224" t="str">
        <f t="shared" ca="1" si="0"/>
        <v>ID</v>
      </c>
      <c r="T25" s="224" t="str">
        <f ca="1">IF(B25="","",IF(ISERROR(MATCH($J25,SorP!$B$1:$B$6230,0)),"",INDIRECT("'SorP'!$A$"&amp;MATCH($J25,SorP!$B$1:$B$6230,0))))</f>
        <v>ID-RI</v>
      </c>
      <c r="U25" s="239"/>
      <c r="V25" s="269" t="e">
        <f>IF(C25="",NA(),MATCH($B25&amp;$C25,'Smelter Look-up'!$J:$J,0))</f>
        <v>#N/A</v>
      </c>
      <c r="W25" s="270"/>
      <c r="X25" s="270">
        <f t="shared" si="1"/>
        <v>0</v>
      </c>
      <c r="Y25" s="270"/>
      <c r="Z25" s="270"/>
      <c r="AB25" s="272" t="str">
        <f t="shared" si="2"/>
        <v>TinPT Timah (Persero) Tbk Kundur</v>
      </c>
    </row>
    <row r="26" spans="1:28" s="271" customFormat="1" ht="63.75">
      <c r="A26" s="215" t="s">
        <v>891</v>
      </c>
      <c r="B26" s="216" t="s">
        <v>1251</v>
      </c>
      <c r="C26" s="347" t="s">
        <v>15511</v>
      </c>
      <c r="D26" s="216"/>
      <c r="E26" s="216" t="s">
        <v>1225</v>
      </c>
      <c r="F26" s="216" t="s">
        <v>891</v>
      </c>
      <c r="G26" s="216" t="s">
        <v>15507</v>
      </c>
      <c r="H26" s="217">
        <v>0</v>
      </c>
      <c r="I26" s="218" t="s">
        <v>2049</v>
      </c>
      <c r="J26" s="218" t="s">
        <v>13917</v>
      </c>
      <c r="K26" s="267"/>
      <c r="L26" s="267"/>
      <c r="M26" s="267"/>
      <c r="N26" s="267"/>
      <c r="O26" s="267"/>
      <c r="P26" s="219"/>
      <c r="Q26" s="268"/>
      <c r="R26" s="216" t="str">
        <f ca="1">IF(ISERROR($V26),"",OFFSET('Smelter Look-up'!$C$4,$V26-4,0)&amp;"")</f>
        <v/>
      </c>
      <c r="S26" s="224" t="str">
        <f t="shared" ca="1" si="0"/>
        <v>ID</v>
      </c>
      <c r="T26" s="224" t="str">
        <f ca="1">IF(B26="","",IF(ISERROR(MATCH($J26,SorP!$B$1:$B$6230,0)),"",INDIRECT("'SorP'!$A$"&amp;MATCH($J26,SorP!$B$1:$B$6230,0))))</f>
        <v>ID-BB</v>
      </c>
      <c r="U26" s="239"/>
      <c r="V26" s="269" t="e">
        <f>IF(C26="",NA(),MATCH($B26&amp;$C26,'Smelter Look-up'!$J:$J,0))</f>
        <v>#N/A</v>
      </c>
      <c r="W26" s="270"/>
      <c r="X26" s="270">
        <f t="shared" si="1"/>
        <v>0</v>
      </c>
      <c r="Y26" s="270"/>
      <c r="Z26" s="270"/>
      <c r="AB26" s="272" t="str">
        <f t="shared" si="2"/>
        <v>TinPT Timah (Persero) Tbk Mentok</v>
      </c>
    </row>
    <row r="27" spans="1:28" s="271" customFormat="1" ht="76.5">
      <c r="A27" s="215" t="s">
        <v>896</v>
      </c>
      <c r="B27" s="216" t="s">
        <v>1251</v>
      </c>
      <c r="C27" s="348" t="s">
        <v>2053</v>
      </c>
      <c r="D27" s="216"/>
      <c r="E27" s="216" t="s">
        <v>1004</v>
      </c>
      <c r="F27" s="216" t="s">
        <v>896</v>
      </c>
      <c r="G27" s="216" t="s">
        <v>15507</v>
      </c>
      <c r="H27" s="217">
        <v>0</v>
      </c>
      <c r="I27" s="218" t="s">
        <v>2051</v>
      </c>
      <c r="J27" s="218" t="s">
        <v>2052</v>
      </c>
      <c r="K27" s="267"/>
      <c r="L27" s="267"/>
      <c r="M27" s="267"/>
      <c r="N27" s="267"/>
      <c r="O27" s="267"/>
      <c r="P27" s="219"/>
      <c r="Q27" s="268"/>
      <c r="R27" s="216" t="str">
        <f ca="1">IF(ISERROR($V27),"",OFFSET('Smelter Look-up'!$C$4,$V27-4,0)&amp;"")</f>
        <v>Thaisarco</v>
      </c>
      <c r="S27" s="224" t="str">
        <f t="shared" ca="1" si="0"/>
        <v>TH</v>
      </c>
      <c r="T27" s="224" t="str">
        <f ca="1">IF(B27="","",IF(ISERROR(MATCH($J27,SorP!$B$1:$B$6230,0)),"",INDIRECT("'SorP'!$A$"&amp;MATCH($J27,SorP!$B$1:$B$6230,0))))</f>
        <v>TH-83</v>
      </c>
      <c r="U27" s="239"/>
      <c r="V27" s="269">
        <f>IF(C27="",NA(),MATCH($B27&amp;$C27,'Smelter Look-up'!$J:$J,0))</f>
        <v>487</v>
      </c>
      <c r="W27" s="270"/>
      <c r="X27" s="270">
        <f t="shared" si="1"/>
        <v>0</v>
      </c>
      <c r="Y27" s="270"/>
      <c r="Z27" s="270"/>
      <c r="AB27" s="272" t="str">
        <f t="shared" si="2"/>
        <v>TinThailand Smelting &amp; Refining Co Ltd</v>
      </c>
    </row>
    <row r="28" spans="1:28" s="271" customFormat="1" ht="25.5">
      <c r="A28" s="215" t="s">
        <v>860</v>
      </c>
      <c r="B28" s="216" t="s">
        <v>1251</v>
      </c>
      <c r="C28" s="347" t="s">
        <v>53</v>
      </c>
      <c r="D28" s="216"/>
      <c r="E28" s="216" t="s">
        <v>3092</v>
      </c>
      <c r="F28" s="216" t="s">
        <v>860</v>
      </c>
      <c r="G28" s="216" t="s">
        <v>15507</v>
      </c>
      <c r="H28" s="217">
        <v>0</v>
      </c>
      <c r="I28" s="218" t="s">
        <v>2008</v>
      </c>
      <c r="J28" s="218" t="s">
        <v>1983</v>
      </c>
      <c r="K28" s="267"/>
      <c r="L28" s="267"/>
      <c r="M28" s="267"/>
      <c r="N28" s="267"/>
      <c r="O28" s="267"/>
      <c r="P28" s="219"/>
      <c r="Q28" s="268"/>
      <c r="R28" s="216" t="str">
        <f ca="1">IF(ISERROR($V28),"",OFFSET('Smelter Look-up'!$C$4,$V28-4,0)&amp;"")</f>
        <v>Alpha</v>
      </c>
      <c r="S28" s="224" t="str">
        <f t="shared" ca="1" si="0"/>
        <v>US</v>
      </c>
      <c r="T28" s="224" t="str">
        <f ca="1">IF(B28="","",IF(ISERROR(MATCH($J28,SorP!$B$1:$B$6230,0)),"",INDIRECT("'SorP'!$A$"&amp;MATCH($J28,SorP!$B$1:$B$6230,0))))</f>
        <v>US-PA</v>
      </c>
      <c r="U28" s="239"/>
      <c r="V28" s="269">
        <f>IF(C28="",NA(),MATCH($B28&amp;$C28,'Smelter Look-up'!$J:$J,0))</f>
        <v>350</v>
      </c>
      <c r="W28" s="270"/>
      <c r="X28" s="270">
        <f t="shared" si="1"/>
        <v>0</v>
      </c>
      <c r="Y28" s="270"/>
      <c r="Z28" s="270"/>
      <c r="AB28" s="272" t="str">
        <f t="shared" si="2"/>
        <v>TinAlpha</v>
      </c>
    </row>
    <row r="29" spans="1:28" s="271" customFormat="1" ht="76.5">
      <c r="A29" s="215" t="s">
        <v>874</v>
      </c>
      <c r="B29" s="216" t="s">
        <v>1251</v>
      </c>
      <c r="C29" s="347" t="s">
        <v>1285</v>
      </c>
      <c r="D29" s="216"/>
      <c r="E29" s="216" t="s">
        <v>1228</v>
      </c>
      <c r="F29" s="216" t="s">
        <v>874</v>
      </c>
      <c r="G29" s="216" t="s">
        <v>15507</v>
      </c>
      <c r="H29" s="217">
        <v>0</v>
      </c>
      <c r="I29" s="218" t="s">
        <v>2039</v>
      </c>
      <c r="J29" s="218" t="s">
        <v>1788</v>
      </c>
      <c r="K29" s="267"/>
      <c r="L29" s="267"/>
      <c r="M29" s="267"/>
      <c r="N29" s="267"/>
      <c r="O29" s="267"/>
      <c r="P29" s="219"/>
      <c r="Q29" s="268"/>
      <c r="R29" s="216" t="str">
        <f ca="1">IF(ISERROR($V29),"",OFFSET('Smelter Look-up'!$C$4,$V29-4,0)&amp;"")</f>
        <v>Mitsubishi Materials Corporation</v>
      </c>
      <c r="S29" s="224" t="str">
        <f t="shared" ca="1" si="0"/>
        <v>JP</v>
      </c>
      <c r="T29" s="224" t="str">
        <f ca="1">IF(B29="","",IF(ISERROR(MATCH($J29,SorP!$B$1:$B$6230,0)),"",INDIRECT("'SorP'!$A$"&amp;MATCH($J29,SorP!$B$1:$B$6230,0))))</f>
        <v>JP-28</v>
      </c>
      <c r="U29" s="239"/>
      <c r="V29" s="269">
        <f>IF(C29="",NA(),MATCH($B29&amp;$C29,'Smelter Look-up'!$J:$J,0))</f>
        <v>429</v>
      </c>
      <c r="W29" s="270"/>
      <c r="X29" s="270">
        <f t="shared" si="1"/>
        <v>0</v>
      </c>
      <c r="Y29" s="270"/>
      <c r="Z29" s="270"/>
      <c r="AB29" s="272" t="str">
        <f t="shared" si="2"/>
        <v>TinMitsubishi Materials Corporation</v>
      </c>
    </row>
    <row r="30" spans="1:28" s="271" customFormat="1" ht="38.25">
      <c r="A30" s="215" t="s">
        <v>883</v>
      </c>
      <c r="B30" s="216" t="s">
        <v>1251</v>
      </c>
      <c r="C30" s="347" t="s">
        <v>698</v>
      </c>
      <c r="D30" s="216"/>
      <c r="E30" s="216" t="s">
        <v>1225</v>
      </c>
      <c r="F30" s="216" t="s">
        <v>883</v>
      </c>
      <c r="G30" s="216" t="s">
        <v>15507</v>
      </c>
      <c r="H30" s="217">
        <v>0</v>
      </c>
      <c r="I30" s="218" t="s">
        <v>2017</v>
      </c>
      <c r="J30" s="218" t="s">
        <v>13917</v>
      </c>
      <c r="K30" s="267"/>
      <c r="L30" s="267"/>
      <c r="M30" s="267"/>
      <c r="N30" s="267"/>
      <c r="O30" s="267"/>
      <c r="P30" s="219"/>
      <c r="Q30" s="268"/>
      <c r="R30" s="216" t="str">
        <f ca="1">IF(ISERROR($V30),"",OFFSET('Smelter Look-up'!$C$4,$V30-4,0)&amp;"")</f>
        <v>PT DS Jaya Abadi</v>
      </c>
      <c r="S30" s="224" t="str">
        <f t="shared" ca="1" si="0"/>
        <v>ID</v>
      </c>
      <c r="T30" s="224" t="str">
        <f ca="1">IF(B30="","",IF(ISERROR(MATCH($J30,SorP!$B$1:$B$6230,0)),"",INDIRECT("'SorP'!$A$"&amp;MATCH($J30,SorP!$B$1:$B$6230,0))))</f>
        <v>ID-BB</v>
      </c>
      <c r="U30" s="239"/>
      <c r="V30" s="269">
        <f>IF(C30="",NA(),MATCH($B30&amp;$C30,'Smelter Look-up'!$J:$J,0))</f>
        <v>453</v>
      </c>
      <c r="W30" s="270"/>
      <c r="X30" s="270">
        <f t="shared" si="1"/>
        <v>0</v>
      </c>
      <c r="Y30" s="270"/>
      <c r="Z30" s="270"/>
      <c r="AB30" s="272" t="str">
        <f t="shared" si="2"/>
        <v>TinPT DS Jaya Abadi</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302" priority="516" stopIfTrue="1">
      <formula>IF(B586="",TRUE)</formula>
    </cfRule>
    <cfRule type="expression" dxfId="301" priority="527" stopIfTrue="1">
      <formula>IF(AND(COUNTIF(MetalSmelter,B586&amp;C586)=0,LEN(C586)&gt;0), TRUE, FALSE)</formula>
    </cfRule>
  </conditionalFormatting>
  <conditionalFormatting sqref="D586:D2493">
    <cfRule type="expression" dxfId="300" priority="510" stopIfTrue="1">
      <formula>IF(AND(LEN($C586) &gt;0, ($C586 &lt;&gt; "Smelter Not Listed")),1,0)</formula>
    </cfRule>
    <cfRule type="expression" dxfId="299" priority="535" stopIfTrue="1">
      <formula>IF(AND(D586="",$C586=$X$4),TRUE)</formula>
    </cfRule>
    <cfRule type="expression" dxfId="298" priority="536" stopIfTrue="1">
      <formula>IF(FIND("!",D586),TRUE)</formula>
    </cfRule>
  </conditionalFormatting>
  <conditionalFormatting sqref="G586:G2493">
    <cfRule type="expression" dxfId="297" priority="537" stopIfTrue="1">
      <formula>IF(FIND("Enter smelter details",G586),TRUE)</formula>
    </cfRule>
  </conditionalFormatting>
  <conditionalFormatting sqref="R586:R2494 E586:E2493">
    <cfRule type="expression" dxfId="296" priority="523" stopIfTrue="1">
      <formula>IF(AND(E586="",$C586=$X$4),TRUE)</formula>
    </cfRule>
    <cfRule type="expression" dxfId="295" priority="524" stopIfTrue="1">
      <formula>IF(FIND("!",E586),TRUE)</formula>
    </cfRule>
  </conditionalFormatting>
  <conditionalFormatting sqref="F586:F2493">
    <cfRule type="expression" dxfId="294" priority="514" stopIfTrue="1">
      <formula>IF(AND(LEN($A586)&gt;0,$A586&lt;&gt;$F586),TRUE,FALSE)</formula>
    </cfRule>
  </conditionalFormatting>
  <conditionalFormatting sqref="C586:C2493">
    <cfRule type="expression" dxfId="293" priority="513" stopIfTrue="1">
      <formula>IF(AND(B586&lt;&gt;"",C586=""),TRUE)</formula>
    </cfRule>
  </conditionalFormatting>
  <conditionalFormatting sqref="B31:B585">
    <cfRule type="expression" dxfId="292" priority="492" stopIfTrue="1">
      <formula>IF(B31="",TRUE)</formula>
    </cfRule>
    <cfRule type="expression" dxfId="291" priority="495" stopIfTrue="1">
      <formula>IF(AND(COUNTIF(MetalSmelter,B31&amp;C31)=0,LEN(C31)&gt;0), TRUE, FALSE)</formula>
    </cfRule>
  </conditionalFormatting>
  <conditionalFormatting sqref="D31:D585">
    <cfRule type="expression" dxfId="290" priority="489" stopIfTrue="1">
      <formula>IF(AND(LEN($C31) &gt;0, ($C31 &lt;&gt; "Smelter Not Listed")),1,0)</formula>
    </cfRule>
    <cfRule type="expression" dxfId="289" priority="496" stopIfTrue="1">
      <formula>IF(AND(D31="",$C31=$X$4),TRUE)</formula>
    </cfRule>
    <cfRule type="expression" dxfId="288" priority="497" stopIfTrue="1">
      <formula>IF(FIND("!",D31),TRUE)</formula>
    </cfRule>
  </conditionalFormatting>
  <conditionalFormatting sqref="G31:G585">
    <cfRule type="expression" dxfId="287" priority="498" stopIfTrue="1">
      <formula>IF(FIND("Enter smelter details",G31),TRUE)</formula>
    </cfRule>
  </conditionalFormatting>
  <conditionalFormatting sqref="R5:R585 E31:E585">
    <cfRule type="expression" dxfId="286" priority="493" stopIfTrue="1">
      <formula>IF(AND(E5="",$C5=$X$4),TRUE)</formula>
    </cfRule>
    <cfRule type="expression" dxfId="285" priority="494" stopIfTrue="1">
      <formula>IF(FIND("!",E5),TRUE)</formula>
    </cfRule>
  </conditionalFormatting>
  <conditionalFormatting sqref="F31:F585">
    <cfRule type="expression" dxfId="284" priority="491" stopIfTrue="1">
      <formula>IF(AND(LEN($A31)&gt;0,$A31&lt;&gt;$F31),TRUE,FALSE)</formula>
    </cfRule>
  </conditionalFormatting>
  <conditionalFormatting sqref="C31:C585">
    <cfRule type="expression" dxfId="283" priority="490" stopIfTrue="1">
      <formula>IF(AND(B31&lt;&gt;"",C31=""),TRUE)</formula>
    </cfRule>
  </conditionalFormatting>
  <conditionalFormatting sqref="B30">
    <cfRule type="expression" dxfId="282" priority="253" stopIfTrue="1">
      <formula>IF(B30="",TRUE)</formula>
    </cfRule>
    <cfRule type="expression" dxfId="281" priority="256" stopIfTrue="1">
      <formula>IF(AND(COUNTIF(MetalSmelter,B30&amp;C30)=0,LEN(C30)&gt;0), TRUE, FALSE)</formula>
    </cfRule>
  </conditionalFormatting>
  <conditionalFormatting sqref="D30">
    <cfRule type="expression" dxfId="280" priority="250" stopIfTrue="1">
      <formula>IF(AND(LEN($C30) &gt;0, ($C30 &lt;&gt; "Smelter Not Listed")),1,0)</formula>
    </cfRule>
    <cfRule type="expression" dxfId="279" priority="257" stopIfTrue="1">
      <formula>IF(AND(D30="",$C30=$X$4),TRUE)</formula>
    </cfRule>
    <cfRule type="expression" dxfId="278" priority="258" stopIfTrue="1">
      <formula>IF(FIND("!",D30),TRUE)</formula>
    </cfRule>
  </conditionalFormatting>
  <conditionalFormatting sqref="G30">
    <cfRule type="expression" dxfId="277" priority="259" stopIfTrue="1">
      <formula>IF(FIND("Enter smelter details",G30),TRUE)</formula>
    </cfRule>
  </conditionalFormatting>
  <conditionalFormatting sqref="E30">
    <cfRule type="expression" dxfId="276" priority="254" stopIfTrue="1">
      <formula>IF(AND(E30="",$C30=$X$4),TRUE)</formula>
    </cfRule>
    <cfRule type="expression" dxfId="275" priority="255" stopIfTrue="1">
      <formula>IF(FIND("!",E30),TRUE)</formula>
    </cfRule>
  </conditionalFormatting>
  <conditionalFormatting sqref="F30">
    <cfRule type="expression" dxfId="274" priority="252" stopIfTrue="1">
      <formula>IF(AND(LEN($A30)&gt;0,$A30&lt;&gt;$F30),TRUE,FALSE)</formula>
    </cfRule>
  </conditionalFormatting>
  <conditionalFormatting sqref="C30">
    <cfRule type="expression" dxfId="273" priority="251" stopIfTrue="1">
      <formula>IF(AND(B30&lt;&gt;"",C30=""),TRUE)</formula>
    </cfRule>
  </conditionalFormatting>
  <conditionalFormatting sqref="B29">
    <cfRule type="expression" dxfId="272" priority="243" stopIfTrue="1">
      <formula>IF(B29="",TRUE)</formula>
    </cfRule>
    <cfRule type="expression" dxfId="271" priority="246" stopIfTrue="1">
      <formula>IF(AND(COUNTIF(MetalSmelter,B29&amp;C29)=0,LEN(C29)&gt;0), TRUE, FALSE)</formula>
    </cfRule>
  </conditionalFormatting>
  <conditionalFormatting sqref="D29">
    <cfRule type="expression" dxfId="270" priority="240" stopIfTrue="1">
      <formula>IF(AND(LEN($C29) &gt;0, ($C29 &lt;&gt; "Smelter Not Listed")),1,0)</formula>
    </cfRule>
    <cfRule type="expression" dxfId="269" priority="247" stopIfTrue="1">
      <formula>IF(AND(D29="",$C29=$X$4),TRUE)</formula>
    </cfRule>
    <cfRule type="expression" dxfId="268" priority="248" stopIfTrue="1">
      <formula>IF(FIND("!",D29),TRUE)</formula>
    </cfRule>
  </conditionalFormatting>
  <conditionalFormatting sqref="G29">
    <cfRule type="expression" dxfId="267" priority="249" stopIfTrue="1">
      <formula>IF(FIND("Enter smelter details",G29),TRUE)</formula>
    </cfRule>
  </conditionalFormatting>
  <conditionalFormatting sqref="E29">
    <cfRule type="expression" dxfId="266" priority="244" stopIfTrue="1">
      <formula>IF(AND(E29="",$C29=$X$4),TRUE)</formula>
    </cfRule>
    <cfRule type="expression" dxfId="265" priority="245" stopIfTrue="1">
      <formula>IF(FIND("!",E29),TRUE)</formula>
    </cfRule>
  </conditionalFormatting>
  <conditionalFormatting sqref="F29">
    <cfRule type="expression" dxfId="264" priority="242" stopIfTrue="1">
      <formula>IF(AND(LEN($A29)&gt;0,$A29&lt;&gt;$F29),TRUE,FALSE)</formula>
    </cfRule>
  </conditionalFormatting>
  <conditionalFormatting sqref="C29">
    <cfRule type="expression" dxfId="263" priority="241" stopIfTrue="1">
      <formula>IF(AND(B29&lt;&gt;"",C29=""),TRUE)</formula>
    </cfRule>
  </conditionalFormatting>
  <conditionalFormatting sqref="B28">
    <cfRule type="expression" dxfId="262" priority="233" stopIfTrue="1">
      <formula>IF(B28="",TRUE)</formula>
    </cfRule>
    <cfRule type="expression" dxfId="261" priority="236" stopIfTrue="1">
      <formula>IF(AND(COUNTIF(MetalSmelter,B28&amp;C28)=0,LEN(C28)&gt;0), TRUE, FALSE)</formula>
    </cfRule>
  </conditionalFormatting>
  <conditionalFormatting sqref="D28">
    <cfRule type="expression" dxfId="260" priority="230" stopIfTrue="1">
      <formula>IF(AND(LEN($C28) &gt;0, ($C28 &lt;&gt; "Smelter Not Listed")),1,0)</formula>
    </cfRule>
    <cfRule type="expression" dxfId="259" priority="237" stopIfTrue="1">
      <formula>IF(AND(D28="",$C28=$X$4),TRUE)</formula>
    </cfRule>
    <cfRule type="expression" dxfId="258" priority="238" stopIfTrue="1">
      <formula>IF(FIND("!",D28),TRUE)</formula>
    </cfRule>
  </conditionalFormatting>
  <conditionalFormatting sqref="G28">
    <cfRule type="expression" dxfId="257" priority="239" stopIfTrue="1">
      <formula>IF(FIND("Enter smelter details",G28),TRUE)</formula>
    </cfRule>
  </conditionalFormatting>
  <conditionalFormatting sqref="E28">
    <cfRule type="expression" dxfId="256" priority="234" stopIfTrue="1">
      <formula>IF(AND(E28="",$C28=$X$4),TRUE)</formula>
    </cfRule>
    <cfRule type="expression" dxfId="255" priority="235" stopIfTrue="1">
      <formula>IF(FIND("!",E28),TRUE)</formula>
    </cfRule>
  </conditionalFormatting>
  <conditionalFormatting sqref="F28">
    <cfRule type="expression" dxfId="254" priority="232" stopIfTrue="1">
      <formula>IF(AND(LEN($A28)&gt;0,$A28&lt;&gt;$F28),TRUE,FALSE)</formula>
    </cfRule>
  </conditionalFormatting>
  <conditionalFormatting sqref="C28">
    <cfRule type="expression" dxfId="253" priority="231" stopIfTrue="1">
      <formula>IF(AND(B28&lt;&gt;"",C28=""),TRUE)</formula>
    </cfRule>
  </conditionalFormatting>
  <conditionalFormatting sqref="B27">
    <cfRule type="expression" dxfId="252" priority="223" stopIfTrue="1">
      <formula>IF(B27="",TRUE)</formula>
    </cfRule>
    <cfRule type="expression" dxfId="251" priority="226" stopIfTrue="1">
      <formula>IF(AND(COUNTIF(MetalSmelter,B27&amp;C27)=0,LEN(C27)&gt;0), TRUE, FALSE)</formula>
    </cfRule>
  </conditionalFormatting>
  <conditionalFormatting sqref="D27">
    <cfRule type="expression" dxfId="250" priority="221" stopIfTrue="1">
      <formula>IF(AND(LEN($C27) &gt;0, ($C27 &lt;&gt; "Smelter Not Listed")),1,0)</formula>
    </cfRule>
    <cfRule type="expression" dxfId="249" priority="227" stopIfTrue="1">
      <formula>IF(AND(D27="",$C27=$X$4),TRUE)</formula>
    </cfRule>
    <cfRule type="expression" dxfId="248" priority="228" stopIfTrue="1">
      <formula>IF(FIND("!",D27),TRUE)</formula>
    </cfRule>
  </conditionalFormatting>
  <conditionalFormatting sqref="G27">
    <cfRule type="expression" dxfId="247" priority="229" stopIfTrue="1">
      <formula>IF(FIND("Enter smelter details",G27),TRUE)</formula>
    </cfRule>
  </conditionalFormatting>
  <conditionalFormatting sqref="E27">
    <cfRule type="expression" dxfId="246" priority="224" stopIfTrue="1">
      <formula>IF(AND(E27="",$C27=$X$4),TRUE)</formula>
    </cfRule>
    <cfRule type="expression" dxfId="245" priority="225" stopIfTrue="1">
      <formula>IF(FIND("!",E27),TRUE)</formula>
    </cfRule>
  </conditionalFormatting>
  <conditionalFormatting sqref="F27">
    <cfRule type="expression" dxfId="244" priority="222" stopIfTrue="1">
      <formula>IF(AND(LEN($A27)&gt;0,$A27&lt;&gt;$F27),TRUE,FALSE)</formula>
    </cfRule>
  </conditionalFormatting>
  <conditionalFormatting sqref="B24">
    <cfRule type="expression" dxfId="243" priority="214" stopIfTrue="1">
      <formula>IF(B24="",TRUE)</formula>
    </cfRule>
    <cfRule type="expression" dxfId="242" priority="217" stopIfTrue="1">
      <formula>IF(AND(COUNTIF(MetalSmelter,B24&amp;C24)=0,LEN(C24)&gt;0), TRUE, FALSE)</formula>
    </cfRule>
  </conditionalFormatting>
  <conditionalFormatting sqref="D24">
    <cfRule type="expression" dxfId="241" priority="211" stopIfTrue="1">
      <formula>IF(AND(LEN($C24) &gt;0, ($C24 &lt;&gt; "Smelter Not Listed")),1,0)</formula>
    </cfRule>
    <cfRule type="expression" dxfId="240" priority="218" stopIfTrue="1">
      <formula>IF(AND(D24="",$C24=$X$4),TRUE)</formula>
    </cfRule>
    <cfRule type="expression" dxfId="239" priority="219" stopIfTrue="1">
      <formula>IF(FIND("!",D24),TRUE)</formula>
    </cfRule>
  </conditionalFormatting>
  <conditionalFormatting sqref="G24">
    <cfRule type="expression" dxfId="238" priority="220" stopIfTrue="1">
      <formula>IF(FIND("Enter smelter details",G24),TRUE)</formula>
    </cfRule>
  </conditionalFormatting>
  <conditionalFormatting sqref="E24">
    <cfRule type="expression" dxfId="237" priority="215" stopIfTrue="1">
      <formula>IF(AND(E24="",$C24=$X$4),TRUE)</formula>
    </cfRule>
    <cfRule type="expression" dxfId="236" priority="216" stopIfTrue="1">
      <formula>IF(FIND("!",E24),TRUE)</formula>
    </cfRule>
  </conditionalFormatting>
  <conditionalFormatting sqref="F24">
    <cfRule type="expression" dxfId="235" priority="213" stopIfTrue="1">
      <formula>IF(AND(LEN($A24)&gt;0,$A24&lt;&gt;$F24),TRUE,FALSE)</formula>
    </cfRule>
  </conditionalFormatting>
  <conditionalFormatting sqref="C24">
    <cfRule type="expression" dxfId="234" priority="212" stopIfTrue="1">
      <formula>IF(AND(B24&lt;&gt;"",C24=""),TRUE)</formula>
    </cfRule>
  </conditionalFormatting>
  <conditionalFormatting sqref="B25">
    <cfRule type="expression" dxfId="233" priority="204" stopIfTrue="1">
      <formula>IF(B25="",TRUE)</formula>
    </cfRule>
    <cfRule type="expression" dxfId="232" priority="207" stopIfTrue="1">
      <formula>IF(AND(COUNTIF(MetalSmelter,B25&amp;C25)=0,LEN(C25)&gt;0), TRUE, FALSE)</formula>
    </cfRule>
  </conditionalFormatting>
  <conditionalFormatting sqref="D25">
    <cfRule type="expression" dxfId="231" priority="201" stopIfTrue="1">
      <formula>IF(AND(LEN($C25) &gt;0, ($C25 &lt;&gt; "Smelter Not Listed")),1,0)</formula>
    </cfRule>
    <cfRule type="expression" dxfId="230" priority="208" stopIfTrue="1">
      <formula>IF(AND(D25="",$C25=$X$4),TRUE)</formula>
    </cfRule>
    <cfRule type="expression" dxfId="229" priority="209" stopIfTrue="1">
      <formula>IF(FIND("!",D25),TRUE)</formula>
    </cfRule>
  </conditionalFormatting>
  <conditionalFormatting sqref="G25">
    <cfRule type="expression" dxfId="228" priority="210" stopIfTrue="1">
      <formula>IF(FIND("Enter smelter details",G25),TRUE)</formula>
    </cfRule>
  </conditionalFormatting>
  <conditionalFormatting sqref="E25">
    <cfRule type="expression" dxfId="227" priority="205" stopIfTrue="1">
      <formula>IF(AND(E25="",$C25=$X$4),TRUE)</formula>
    </cfRule>
    <cfRule type="expression" dxfId="226" priority="206" stopIfTrue="1">
      <formula>IF(FIND("!",E25),TRUE)</formula>
    </cfRule>
  </conditionalFormatting>
  <conditionalFormatting sqref="F25">
    <cfRule type="expression" dxfId="225" priority="203" stopIfTrue="1">
      <formula>IF(AND(LEN($A25)&gt;0,$A25&lt;&gt;$F25),TRUE,FALSE)</formula>
    </cfRule>
  </conditionalFormatting>
  <conditionalFormatting sqref="C25">
    <cfRule type="expression" dxfId="224" priority="202" stopIfTrue="1">
      <formula>IF(AND(B25&lt;&gt;"",C25=""),TRUE)</formula>
    </cfRule>
  </conditionalFormatting>
  <conditionalFormatting sqref="B26">
    <cfRule type="expression" dxfId="223" priority="194" stopIfTrue="1">
      <formula>IF(B26="",TRUE)</formula>
    </cfRule>
    <cfRule type="expression" dxfId="222" priority="197" stopIfTrue="1">
      <formula>IF(AND(COUNTIF(MetalSmelter,B26&amp;C26)=0,LEN(C26)&gt;0), TRUE, FALSE)</formula>
    </cfRule>
  </conditionalFormatting>
  <conditionalFormatting sqref="D26">
    <cfRule type="expression" dxfId="221" priority="191" stopIfTrue="1">
      <formula>IF(AND(LEN($C26) &gt;0, ($C26 &lt;&gt; "Smelter Not Listed")),1,0)</formula>
    </cfRule>
    <cfRule type="expression" dxfId="220" priority="198" stopIfTrue="1">
      <formula>IF(AND(D26="",$C26=$X$4),TRUE)</formula>
    </cfRule>
    <cfRule type="expression" dxfId="219" priority="199" stopIfTrue="1">
      <formula>IF(FIND("!",D26),TRUE)</formula>
    </cfRule>
  </conditionalFormatting>
  <conditionalFormatting sqref="G26">
    <cfRule type="expression" dxfId="218" priority="200" stopIfTrue="1">
      <formula>IF(FIND("Enter smelter details",G26),TRUE)</formula>
    </cfRule>
  </conditionalFormatting>
  <conditionalFormatting sqref="E26">
    <cfRule type="expression" dxfId="217" priority="195" stopIfTrue="1">
      <formula>IF(AND(E26="",$C26=$X$4),TRUE)</formula>
    </cfRule>
    <cfRule type="expression" dxfId="216" priority="196" stopIfTrue="1">
      <formula>IF(FIND("!",E26),TRUE)</formula>
    </cfRule>
  </conditionalFormatting>
  <conditionalFormatting sqref="F26">
    <cfRule type="expression" dxfId="215" priority="193" stopIfTrue="1">
      <formula>IF(AND(LEN($A26)&gt;0,$A26&lt;&gt;$F26),TRUE,FALSE)</formula>
    </cfRule>
  </conditionalFormatting>
  <conditionalFormatting sqref="C26">
    <cfRule type="expression" dxfId="214" priority="192" stopIfTrue="1">
      <formula>IF(AND(B26&lt;&gt;"",C26=""),TRUE)</formula>
    </cfRule>
  </conditionalFormatting>
  <conditionalFormatting sqref="B22">
    <cfRule type="expression" dxfId="213" priority="184" stopIfTrue="1">
      <formula>IF(B22="",TRUE)</formula>
    </cfRule>
    <cfRule type="expression" dxfId="212" priority="187" stopIfTrue="1">
      <formula>IF(AND(COUNTIF(MetalSmelter,B22&amp;C22)=0,LEN(C22)&gt;0), TRUE, FALSE)</formula>
    </cfRule>
  </conditionalFormatting>
  <conditionalFormatting sqref="D22">
    <cfRule type="expression" dxfId="211" priority="181" stopIfTrue="1">
      <formula>IF(AND(LEN($C22) &gt;0, ($C22 &lt;&gt; "Smelter Not Listed")),1,0)</formula>
    </cfRule>
    <cfRule type="expression" dxfId="210" priority="188" stopIfTrue="1">
      <formula>IF(AND(D22="",$C22=$X$4),TRUE)</formula>
    </cfRule>
    <cfRule type="expression" dxfId="209" priority="189" stopIfTrue="1">
      <formula>IF(FIND("!",D22),TRUE)</formula>
    </cfRule>
  </conditionalFormatting>
  <conditionalFormatting sqref="G22">
    <cfRule type="expression" dxfId="208" priority="190" stopIfTrue="1">
      <formula>IF(FIND("Enter smelter details",G22),TRUE)</formula>
    </cfRule>
  </conditionalFormatting>
  <conditionalFormatting sqref="E22">
    <cfRule type="expression" dxfId="207" priority="185" stopIfTrue="1">
      <formula>IF(AND(E22="",$C22=$X$4),TRUE)</formula>
    </cfRule>
    <cfRule type="expression" dxfId="206" priority="186" stopIfTrue="1">
      <formula>IF(FIND("!",E22),TRUE)</formula>
    </cfRule>
  </conditionalFormatting>
  <conditionalFormatting sqref="F22">
    <cfRule type="expression" dxfId="205" priority="183" stopIfTrue="1">
      <formula>IF(AND(LEN($A22)&gt;0,$A22&lt;&gt;$F22),TRUE,FALSE)</formula>
    </cfRule>
  </conditionalFormatting>
  <conditionalFormatting sqref="C22">
    <cfRule type="expression" dxfId="204" priority="182" stopIfTrue="1">
      <formula>IF(AND(B22&lt;&gt;"",C22=""),TRUE)</formula>
    </cfRule>
  </conditionalFormatting>
  <conditionalFormatting sqref="B23">
    <cfRule type="expression" dxfId="203" priority="174" stopIfTrue="1">
      <formula>IF(B23="",TRUE)</formula>
    </cfRule>
    <cfRule type="expression" dxfId="202" priority="177" stopIfTrue="1">
      <formula>IF(AND(COUNTIF(MetalSmelter,B23&amp;C23)=0,LEN(C23)&gt;0), TRUE, FALSE)</formula>
    </cfRule>
  </conditionalFormatting>
  <conditionalFormatting sqref="D23">
    <cfRule type="expression" dxfId="201" priority="171" stopIfTrue="1">
      <formula>IF(AND(LEN($C23) &gt;0, ($C23 &lt;&gt; "Smelter Not Listed")),1,0)</formula>
    </cfRule>
    <cfRule type="expression" dxfId="200" priority="178" stopIfTrue="1">
      <formula>IF(AND(D23="",$C23=$X$4),TRUE)</formula>
    </cfRule>
    <cfRule type="expression" dxfId="199" priority="179" stopIfTrue="1">
      <formula>IF(FIND("!",D23),TRUE)</formula>
    </cfRule>
  </conditionalFormatting>
  <conditionalFormatting sqref="G23">
    <cfRule type="expression" dxfId="198" priority="180" stopIfTrue="1">
      <formula>IF(FIND("Enter smelter details",G23),TRUE)</formula>
    </cfRule>
  </conditionalFormatting>
  <conditionalFormatting sqref="E23">
    <cfRule type="expression" dxfId="197" priority="175" stopIfTrue="1">
      <formula>IF(AND(E23="",$C23=$X$4),TRUE)</formula>
    </cfRule>
    <cfRule type="expression" dxfId="196" priority="176" stopIfTrue="1">
      <formula>IF(FIND("!",E23),TRUE)</formula>
    </cfRule>
  </conditionalFormatting>
  <conditionalFormatting sqref="F23">
    <cfRule type="expression" dxfId="195" priority="173" stopIfTrue="1">
      <formula>IF(AND(LEN($A23)&gt;0,$A23&lt;&gt;$F23),TRUE,FALSE)</formula>
    </cfRule>
  </conditionalFormatting>
  <conditionalFormatting sqref="C23">
    <cfRule type="expression" dxfId="194" priority="172" stopIfTrue="1">
      <formula>IF(AND(B23&lt;&gt;"",C23=""),TRUE)</formula>
    </cfRule>
  </conditionalFormatting>
  <conditionalFormatting sqref="B20">
    <cfRule type="expression" dxfId="193" priority="164" stopIfTrue="1">
      <formula>IF(B20="",TRUE)</formula>
    </cfRule>
    <cfRule type="expression" dxfId="192" priority="167" stopIfTrue="1">
      <formula>IF(AND(COUNTIF(MetalSmelter,B20&amp;C20)=0,LEN(C20)&gt;0), TRUE, FALSE)</formula>
    </cfRule>
  </conditionalFormatting>
  <conditionalFormatting sqref="D20">
    <cfRule type="expression" dxfId="191" priority="161" stopIfTrue="1">
      <formula>IF(AND(LEN($C20) &gt;0, ($C20 &lt;&gt; "Smelter Not Listed")),1,0)</formula>
    </cfRule>
    <cfRule type="expression" dxfId="190" priority="168" stopIfTrue="1">
      <formula>IF(AND(D20="",$C20=$X$4),TRUE)</formula>
    </cfRule>
    <cfRule type="expression" dxfId="189" priority="169" stopIfTrue="1">
      <formula>IF(FIND("!",D20),TRUE)</formula>
    </cfRule>
  </conditionalFormatting>
  <conditionalFormatting sqref="G20">
    <cfRule type="expression" dxfId="188" priority="170" stopIfTrue="1">
      <formula>IF(FIND("Enter smelter details",G20),TRUE)</formula>
    </cfRule>
  </conditionalFormatting>
  <conditionalFormatting sqref="E20">
    <cfRule type="expression" dxfId="187" priority="165" stopIfTrue="1">
      <formula>IF(AND(E20="",$C20=$X$4),TRUE)</formula>
    </cfRule>
    <cfRule type="expression" dxfId="186" priority="166" stopIfTrue="1">
      <formula>IF(FIND("!",E20),TRUE)</formula>
    </cfRule>
  </conditionalFormatting>
  <conditionalFormatting sqref="F20">
    <cfRule type="expression" dxfId="185" priority="163" stopIfTrue="1">
      <formula>IF(AND(LEN($A20)&gt;0,$A20&lt;&gt;$F20),TRUE,FALSE)</formula>
    </cfRule>
  </conditionalFormatting>
  <conditionalFormatting sqref="C20">
    <cfRule type="expression" dxfId="184" priority="162" stopIfTrue="1">
      <formula>IF(AND(B20&lt;&gt;"",C20=""),TRUE)</formula>
    </cfRule>
  </conditionalFormatting>
  <conditionalFormatting sqref="B21">
    <cfRule type="expression" dxfId="183" priority="154" stopIfTrue="1">
      <formula>IF(B21="",TRUE)</formula>
    </cfRule>
    <cfRule type="expression" dxfId="182" priority="157" stopIfTrue="1">
      <formula>IF(AND(COUNTIF(MetalSmelter,B21&amp;C21)=0,LEN(C21)&gt;0), TRUE, FALSE)</formula>
    </cfRule>
  </conditionalFormatting>
  <conditionalFormatting sqref="D21">
    <cfRule type="expression" dxfId="181" priority="151" stopIfTrue="1">
      <formula>IF(AND(LEN($C21) &gt;0, ($C21 &lt;&gt; "Smelter Not Listed")),1,0)</formula>
    </cfRule>
    <cfRule type="expression" dxfId="180" priority="158" stopIfTrue="1">
      <formula>IF(AND(D21="",$C21=$X$4),TRUE)</formula>
    </cfRule>
    <cfRule type="expression" dxfId="179" priority="159" stopIfTrue="1">
      <formula>IF(FIND("!",D21),TRUE)</formula>
    </cfRule>
  </conditionalFormatting>
  <conditionalFormatting sqref="G21">
    <cfRule type="expression" dxfId="178" priority="160" stopIfTrue="1">
      <formula>IF(FIND("Enter smelter details",G21),TRUE)</formula>
    </cfRule>
  </conditionalFormatting>
  <conditionalFormatting sqref="E21">
    <cfRule type="expression" dxfId="177" priority="155" stopIfTrue="1">
      <formula>IF(AND(E21="",$C21=$X$4),TRUE)</formula>
    </cfRule>
    <cfRule type="expression" dxfId="176" priority="156" stopIfTrue="1">
      <formula>IF(FIND("!",E21),TRUE)</formula>
    </cfRule>
  </conditionalFormatting>
  <conditionalFormatting sqref="F21">
    <cfRule type="expression" dxfId="175" priority="153" stopIfTrue="1">
      <formula>IF(AND(LEN($A21)&gt;0,$A21&lt;&gt;$F21),TRUE,FALSE)</formula>
    </cfRule>
  </conditionalFormatting>
  <conditionalFormatting sqref="C21">
    <cfRule type="expression" dxfId="174" priority="152" stopIfTrue="1">
      <formula>IF(AND(B21&lt;&gt;"",C21=""),TRUE)</formula>
    </cfRule>
  </conditionalFormatting>
  <conditionalFormatting sqref="B18">
    <cfRule type="expression" dxfId="173" priority="144" stopIfTrue="1">
      <formula>IF(B18="",TRUE)</formula>
    </cfRule>
    <cfRule type="expression" dxfId="172" priority="147" stopIfTrue="1">
      <formula>IF(AND(COUNTIF(MetalSmelter,B18&amp;C18)=0,LEN(C18)&gt;0), TRUE, FALSE)</formula>
    </cfRule>
  </conditionalFormatting>
  <conditionalFormatting sqref="D18">
    <cfRule type="expression" dxfId="171" priority="141" stopIfTrue="1">
      <formula>IF(AND(LEN($C18) &gt;0, ($C18 &lt;&gt; "Smelter Not Listed")),1,0)</formula>
    </cfRule>
    <cfRule type="expression" dxfId="170" priority="148" stopIfTrue="1">
      <formula>IF(AND(D18="",$C18=$X$4),TRUE)</formula>
    </cfRule>
    <cfRule type="expression" dxfId="169" priority="149" stopIfTrue="1">
      <formula>IF(FIND("!",D18),TRUE)</formula>
    </cfRule>
  </conditionalFormatting>
  <conditionalFormatting sqref="G18">
    <cfRule type="expression" dxfId="168" priority="150" stopIfTrue="1">
      <formula>IF(FIND("Enter smelter details",G18),TRUE)</formula>
    </cfRule>
  </conditionalFormatting>
  <conditionalFormatting sqref="E18">
    <cfRule type="expression" dxfId="167" priority="145" stopIfTrue="1">
      <formula>IF(AND(E18="",$C18=$X$4),TRUE)</formula>
    </cfRule>
    <cfRule type="expression" dxfId="166" priority="146" stopIfTrue="1">
      <formula>IF(FIND("!",E18),TRUE)</formula>
    </cfRule>
  </conditionalFormatting>
  <conditionalFormatting sqref="F18">
    <cfRule type="expression" dxfId="165" priority="143" stopIfTrue="1">
      <formula>IF(AND(LEN($A18)&gt;0,$A18&lt;&gt;$F18),TRUE,FALSE)</formula>
    </cfRule>
  </conditionalFormatting>
  <conditionalFormatting sqref="C18">
    <cfRule type="expression" dxfId="164" priority="142" stopIfTrue="1">
      <formula>IF(AND(B18&lt;&gt;"",C18=""),TRUE)</formula>
    </cfRule>
  </conditionalFormatting>
  <conditionalFormatting sqref="B19">
    <cfRule type="expression" dxfId="163" priority="134" stopIfTrue="1">
      <formula>IF(B19="",TRUE)</formula>
    </cfRule>
    <cfRule type="expression" dxfId="162" priority="137" stopIfTrue="1">
      <formula>IF(AND(COUNTIF(MetalSmelter,B19&amp;C19)=0,LEN(C19)&gt;0), TRUE, FALSE)</formula>
    </cfRule>
  </conditionalFormatting>
  <conditionalFormatting sqref="D19">
    <cfRule type="expression" dxfId="161" priority="131" stopIfTrue="1">
      <formula>IF(AND(LEN($C19) &gt;0, ($C19 &lt;&gt; "Smelter Not Listed")),1,0)</formula>
    </cfRule>
    <cfRule type="expression" dxfId="160" priority="138" stopIfTrue="1">
      <formula>IF(AND(D19="",$C19=$X$4),TRUE)</formula>
    </cfRule>
    <cfRule type="expression" dxfId="159" priority="139" stopIfTrue="1">
      <formula>IF(FIND("!",D19),TRUE)</formula>
    </cfRule>
  </conditionalFormatting>
  <conditionalFormatting sqref="G19">
    <cfRule type="expression" dxfId="158" priority="140" stopIfTrue="1">
      <formula>IF(FIND("Enter smelter details",G19),TRUE)</formula>
    </cfRule>
  </conditionalFormatting>
  <conditionalFormatting sqref="E19">
    <cfRule type="expression" dxfId="157" priority="135" stopIfTrue="1">
      <formula>IF(AND(E19="",$C19=$X$4),TRUE)</formula>
    </cfRule>
    <cfRule type="expression" dxfId="156" priority="136" stopIfTrue="1">
      <formula>IF(FIND("!",E19),TRUE)</formula>
    </cfRule>
  </conditionalFormatting>
  <conditionalFormatting sqref="F19">
    <cfRule type="expression" dxfId="155" priority="133" stopIfTrue="1">
      <formula>IF(AND(LEN($A19)&gt;0,$A19&lt;&gt;$F19),TRUE,FALSE)</formula>
    </cfRule>
  </conditionalFormatting>
  <conditionalFormatting sqref="C19">
    <cfRule type="expression" dxfId="154" priority="132" stopIfTrue="1">
      <formula>IF(AND(B19&lt;&gt;"",C19=""),TRUE)</formula>
    </cfRule>
  </conditionalFormatting>
  <conditionalFormatting sqref="B16">
    <cfRule type="expression" dxfId="153" priority="124" stopIfTrue="1">
      <formula>IF(B16="",TRUE)</formula>
    </cfRule>
    <cfRule type="expression" dxfId="152" priority="127" stopIfTrue="1">
      <formula>IF(AND(COUNTIF(MetalSmelter,B16&amp;C16)=0,LEN(C16)&gt;0), TRUE, FALSE)</formula>
    </cfRule>
  </conditionalFormatting>
  <conditionalFormatting sqref="D16">
    <cfRule type="expression" dxfId="151" priority="121" stopIfTrue="1">
      <formula>IF(AND(LEN($C16) &gt;0, ($C16 &lt;&gt; "Smelter Not Listed")),1,0)</formula>
    </cfRule>
    <cfRule type="expression" dxfId="150" priority="128" stopIfTrue="1">
      <formula>IF(AND(D16="",$C16=$X$4),TRUE)</formula>
    </cfRule>
    <cfRule type="expression" dxfId="149" priority="129" stopIfTrue="1">
      <formula>IF(FIND("!",D16),TRUE)</formula>
    </cfRule>
  </conditionalFormatting>
  <conditionalFormatting sqref="G16">
    <cfRule type="expression" dxfId="148" priority="130" stopIfTrue="1">
      <formula>IF(FIND("Enter smelter details",G16),TRUE)</formula>
    </cfRule>
  </conditionalFormatting>
  <conditionalFormatting sqref="E16">
    <cfRule type="expression" dxfId="147" priority="125" stopIfTrue="1">
      <formula>IF(AND(E16="",$C16=$X$4),TRUE)</formula>
    </cfRule>
    <cfRule type="expression" dxfId="146" priority="126" stopIfTrue="1">
      <formula>IF(FIND("!",E16),TRUE)</formula>
    </cfRule>
  </conditionalFormatting>
  <conditionalFormatting sqref="F16">
    <cfRule type="expression" dxfId="145" priority="123" stopIfTrue="1">
      <formula>IF(AND(LEN($A16)&gt;0,$A16&lt;&gt;$F16),TRUE,FALSE)</formula>
    </cfRule>
  </conditionalFormatting>
  <conditionalFormatting sqref="C16">
    <cfRule type="expression" dxfId="144" priority="122" stopIfTrue="1">
      <formula>IF(AND(B16&lt;&gt;"",C16=""),TRUE)</formula>
    </cfRule>
  </conditionalFormatting>
  <conditionalFormatting sqref="B17">
    <cfRule type="expression" dxfId="143" priority="114" stopIfTrue="1">
      <formula>IF(B17="",TRUE)</formula>
    </cfRule>
    <cfRule type="expression" dxfId="142" priority="117" stopIfTrue="1">
      <formula>IF(AND(COUNTIF(MetalSmelter,B17&amp;C17)=0,LEN(C17)&gt;0), TRUE, FALSE)</formula>
    </cfRule>
  </conditionalFormatting>
  <conditionalFormatting sqref="D17">
    <cfRule type="expression" dxfId="141" priority="111" stopIfTrue="1">
      <formula>IF(AND(LEN($C17) &gt;0, ($C17 &lt;&gt; "Smelter Not Listed")),1,0)</formula>
    </cfRule>
    <cfRule type="expression" dxfId="140" priority="118" stopIfTrue="1">
      <formula>IF(AND(D17="",$C17=$X$4),TRUE)</formula>
    </cfRule>
    <cfRule type="expression" dxfId="139" priority="119" stopIfTrue="1">
      <formula>IF(FIND("!",D17),TRUE)</formula>
    </cfRule>
  </conditionalFormatting>
  <conditionalFormatting sqref="G17">
    <cfRule type="expression" dxfId="138" priority="120" stopIfTrue="1">
      <formula>IF(FIND("Enter smelter details",G17),TRUE)</formula>
    </cfRule>
  </conditionalFormatting>
  <conditionalFormatting sqref="E17">
    <cfRule type="expression" dxfId="137" priority="115" stopIfTrue="1">
      <formula>IF(AND(E17="",$C17=$X$4),TRUE)</formula>
    </cfRule>
    <cfRule type="expression" dxfId="136" priority="116" stopIfTrue="1">
      <formula>IF(FIND("!",E17),TRUE)</formula>
    </cfRule>
  </conditionalFormatting>
  <conditionalFormatting sqref="F17">
    <cfRule type="expression" dxfId="135" priority="113" stopIfTrue="1">
      <formula>IF(AND(LEN($A17)&gt;0,$A17&lt;&gt;$F17),TRUE,FALSE)</formula>
    </cfRule>
  </conditionalFormatting>
  <conditionalFormatting sqref="C17">
    <cfRule type="expression" dxfId="134" priority="112" stopIfTrue="1">
      <formula>IF(AND(B17&lt;&gt;"",C17=""),TRUE)</formula>
    </cfRule>
  </conditionalFormatting>
  <conditionalFormatting sqref="B14">
    <cfRule type="expression" dxfId="133" priority="104" stopIfTrue="1">
      <formula>IF(B14="",TRUE)</formula>
    </cfRule>
    <cfRule type="expression" dxfId="132" priority="107" stopIfTrue="1">
      <formula>IF(AND(COUNTIF(MetalSmelter,B14&amp;C14)=0,LEN(C14)&gt;0), TRUE, FALSE)</formula>
    </cfRule>
  </conditionalFormatting>
  <conditionalFormatting sqref="D14">
    <cfRule type="expression" dxfId="131" priority="101" stopIfTrue="1">
      <formula>IF(AND(LEN($C14) &gt;0, ($C14 &lt;&gt; "Smelter Not Listed")),1,0)</formula>
    </cfRule>
    <cfRule type="expression" dxfId="130" priority="108" stopIfTrue="1">
      <formula>IF(AND(D14="",$C14=$X$4),TRUE)</formula>
    </cfRule>
    <cfRule type="expression" dxfId="129" priority="109" stopIfTrue="1">
      <formula>IF(FIND("!",D14),TRUE)</formula>
    </cfRule>
  </conditionalFormatting>
  <conditionalFormatting sqref="G14">
    <cfRule type="expression" dxfId="128" priority="110" stopIfTrue="1">
      <formula>IF(FIND("Enter smelter details",G14),TRUE)</formula>
    </cfRule>
  </conditionalFormatting>
  <conditionalFormatting sqref="E14">
    <cfRule type="expression" dxfId="127" priority="105" stopIfTrue="1">
      <formula>IF(AND(E14="",$C14=$X$4),TRUE)</formula>
    </cfRule>
    <cfRule type="expression" dxfId="126" priority="106" stopIfTrue="1">
      <formula>IF(FIND("!",E14),TRUE)</formula>
    </cfRule>
  </conditionalFormatting>
  <conditionalFormatting sqref="F14">
    <cfRule type="expression" dxfId="125" priority="103" stopIfTrue="1">
      <formula>IF(AND(LEN($A14)&gt;0,$A14&lt;&gt;$F14),TRUE,FALSE)</formula>
    </cfRule>
  </conditionalFormatting>
  <conditionalFormatting sqref="C14">
    <cfRule type="expression" dxfId="124" priority="102" stopIfTrue="1">
      <formula>IF(AND(B14&lt;&gt;"",C14=""),TRUE)</formula>
    </cfRule>
  </conditionalFormatting>
  <conditionalFormatting sqref="B15">
    <cfRule type="expression" dxfId="123" priority="94" stopIfTrue="1">
      <formula>IF(B15="",TRUE)</formula>
    </cfRule>
    <cfRule type="expression" dxfId="122" priority="97" stopIfTrue="1">
      <formula>IF(AND(COUNTIF(MetalSmelter,B15&amp;C15)=0,LEN(C15)&gt;0), TRUE, FALSE)</formula>
    </cfRule>
  </conditionalFormatting>
  <conditionalFormatting sqref="D15">
    <cfRule type="expression" dxfId="121" priority="91" stopIfTrue="1">
      <formula>IF(AND(LEN($C15) &gt;0, ($C15 &lt;&gt; "Smelter Not Listed")),1,0)</formula>
    </cfRule>
    <cfRule type="expression" dxfId="120" priority="98" stopIfTrue="1">
      <formula>IF(AND(D15="",$C15=$X$4),TRUE)</formula>
    </cfRule>
    <cfRule type="expression" dxfId="119" priority="99" stopIfTrue="1">
      <formula>IF(FIND("!",D15),TRUE)</formula>
    </cfRule>
  </conditionalFormatting>
  <conditionalFormatting sqref="G15">
    <cfRule type="expression" dxfId="118" priority="100" stopIfTrue="1">
      <formula>IF(FIND("Enter smelter details",G15),TRUE)</formula>
    </cfRule>
  </conditionalFormatting>
  <conditionalFormatting sqref="E15">
    <cfRule type="expression" dxfId="117" priority="95" stopIfTrue="1">
      <formula>IF(AND(E15="",$C15=$X$4),TRUE)</formula>
    </cfRule>
    <cfRule type="expression" dxfId="116" priority="96" stopIfTrue="1">
      <formula>IF(FIND("!",E15),TRUE)</formula>
    </cfRule>
  </conditionalFormatting>
  <conditionalFormatting sqref="F15">
    <cfRule type="expression" dxfId="115" priority="93" stopIfTrue="1">
      <formula>IF(AND(LEN($A15)&gt;0,$A15&lt;&gt;$F15),TRUE,FALSE)</formula>
    </cfRule>
  </conditionalFormatting>
  <conditionalFormatting sqref="C15">
    <cfRule type="expression" dxfId="114" priority="92" stopIfTrue="1">
      <formula>IF(AND(B15&lt;&gt;"",C15=""),TRUE)</formula>
    </cfRule>
  </conditionalFormatting>
  <conditionalFormatting sqref="B12">
    <cfRule type="expression" dxfId="113" priority="84" stopIfTrue="1">
      <formula>IF(B12="",TRUE)</formula>
    </cfRule>
    <cfRule type="expression" dxfId="112" priority="87" stopIfTrue="1">
      <formula>IF(AND(COUNTIF(MetalSmelter,B12&amp;C12)=0,LEN(C12)&gt;0), TRUE, FALSE)</formula>
    </cfRule>
  </conditionalFormatting>
  <conditionalFormatting sqref="D12">
    <cfRule type="expression" dxfId="111" priority="81" stopIfTrue="1">
      <formula>IF(AND(LEN($C12) &gt;0, ($C12 &lt;&gt; "Smelter Not Listed")),1,0)</formula>
    </cfRule>
    <cfRule type="expression" dxfId="110" priority="88" stopIfTrue="1">
      <formula>IF(AND(D12="",$C12=$X$4),TRUE)</formula>
    </cfRule>
    <cfRule type="expression" dxfId="109" priority="89" stopIfTrue="1">
      <formula>IF(FIND("!",D12),TRUE)</formula>
    </cfRule>
  </conditionalFormatting>
  <conditionalFormatting sqref="G12">
    <cfRule type="expression" dxfId="108" priority="90" stopIfTrue="1">
      <formula>IF(FIND("Enter smelter details",G12),TRUE)</formula>
    </cfRule>
  </conditionalFormatting>
  <conditionalFormatting sqref="E12">
    <cfRule type="expression" dxfId="107" priority="85" stopIfTrue="1">
      <formula>IF(AND(E12="",$C12=$X$4),TRUE)</formula>
    </cfRule>
    <cfRule type="expression" dxfId="106" priority="86" stopIfTrue="1">
      <formula>IF(FIND("!",E12),TRUE)</formula>
    </cfRule>
  </conditionalFormatting>
  <conditionalFormatting sqref="F12">
    <cfRule type="expression" dxfId="105" priority="83" stopIfTrue="1">
      <formula>IF(AND(LEN($A12)&gt;0,$A12&lt;&gt;$F12),TRUE,FALSE)</formula>
    </cfRule>
  </conditionalFormatting>
  <conditionalFormatting sqref="C12">
    <cfRule type="expression" dxfId="104" priority="82" stopIfTrue="1">
      <formula>IF(AND(B12&lt;&gt;"",C12=""),TRUE)</formula>
    </cfRule>
  </conditionalFormatting>
  <conditionalFormatting sqref="B13">
    <cfRule type="expression" dxfId="103" priority="74" stopIfTrue="1">
      <formula>IF(B13="",TRUE)</formula>
    </cfRule>
    <cfRule type="expression" dxfId="102" priority="77" stopIfTrue="1">
      <formula>IF(AND(COUNTIF(MetalSmelter,B13&amp;C13)=0,LEN(C13)&gt;0), TRUE, FALSE)</formula>
    </cfRule>
  </conditionalFormatting>
  <conditionalFormatting sqref="D13">
    <cfRule type="expression" dxfId="101" priority="71" stopIfTrue="1">
      <formula>IF(AND(LEN($C13) &gt;0, ($C13 &lt;&gt; "Smelter Not Listed")),1,0)</formula>
    </cfRule>
    <cfRule type="expression" dxfId="100" priority="78" stopIfTrue="1">
      <formula>IF(AND(D13="",$C13=$X$4),TRUE)</formula>
    </cfRule>
    <cfRule type="expression" dxfId="99" priority="79" stopIfTrue="1">
      <formula>IF(FIND("!",D13),TRUE)</formula>
    </cfRule>
  </conditionalFormatting>
  <conditionalFormatting sqref="G13">
    <cfRule type="expression" dxfId="98" priority="80" stopIfTrue="1">
      <formula>IF(FIND("Enter smelter details",G13),TRUE)</formula>
    </cfRule>
  </conditionalFormatting>
  <conditionalFormatting sqref="E13">
    <cfRule type="expression" dxfId="97" priority="75" stopIfTrue="1">
      <formula>IF(AND(E13="",$C13=$X$4),TRUE)</formula>
    </cfRule>
    <cfRule type="expression" dxfId="96" priority="76" stopIfTrue="1">
      <formula>IF(FIND("!",E13),TRUE)</formula>
    </cfRule>
  </conditionalFormatting>
  <conditionalFormatting sqref="F13">
    <cfRule type="expression" dxfId="95" priority="73" stopIfTrue="1">
      <formula>IF(AND(LEN($A13)&gt;0,$A13&lt;&gt;$F13),TRUE,FALSE)</formula>
    </cfRule>
  </conditionalFormatting>
  <conditionalFormatting sqref="C13">
    <cfRule type="expression" dxfId="94" priority="72" stopIfTrue="1">
      <formula>IF(AND(B13&lt;&gt;"",C13=""),TRUE)</formula>
    </cfRule>
  </conditionalFormatting>
  <conditionalFormatting sqref="B10">
    <cfRule type="expression" dxfId="93" priority="64" stopIfTrue="1">
      <formula>IF(B10="",TRUE)</formula>
    </cfRule>
    <cfRule type="expression" dxfId="92" priority="67" stopIfTrue="1">
      <formula>IF(AND(COUNTIF(MetalSmelter,B10&amp;C10)=0,LEN(C10)&gt;0), TRUE, FALSE)</formula>
    </cfRule>
  </conditionalFormatting>
  <conditionalFormatting sqref="D10">
    <cfRule type="expression" dxfId="91" priority="61" stopIfTrue="1">
      <formula>IF(AND(LEN($C10) &gt;0, ($C10 &lt;&gt; "Smelter Not Listed")),1,0)</formula>
    </cfRule>
    <cfRule type="expression" dxfId="90" priority="68" stopIfTrue="1">
      <formula>IF(AND(D10="",$C10=$X$4),TRUE)</formula>
    </cfRule>
    <cfRule type="expression" dxfId="89" priority="69" stopIfTrue="1">
      <formula>IF(FIND("!",D10),TRUE)</formula>
    </cfRule>
  </conditionalFormatting>
  <conditionalFormatting sqref="G10">
    <cfRule type="expression" dxfId="88" priority="70" stopIfTrue="1">
      <formula>IF(FIND("Enter smelter details",G10),TRUE)</formula>
    </cfRule>
  </conditionalFormatting>
  <conditionalFormatting sqref="E10">
    <cfRule type="expression" dxfId="87" priority="65" stopIfTrue="1">
      <formula>IF(AND(E10="",$C10=$X$4),TRUE)</formula>
    </cfRule>
    <cfRule type="expression" dxfId="86" priority="66" stopIfTrue="1">
      <formula>IF(FIND("!",E10),TRUE)</formula>
    </cfRule>
  </conditionalFormatting>
  <conditionalFormatting sqref="F10">
    <cfRule type="expression" dxfId="85" priority="63" stopIfTrue="1">
      <formula>IF(AND(LEN($A10)&gt;0,$A10&lt;&gt;$F10),TRUE,FALSE)</formula>
    </cfRule>
  </conditionalFormatting>
  <conditionalFormatting sqref="C10">
    <cfRule type="expression" dxfId="84" priority="62" stopIfTrue="1">
      <formula>IF(AND(B10&lt;&gt;"",C10=""),TRUE)</formula>
    </cfRule>
  </conditionalFormatting>
  <conditionalFormatting sqref="B11">
    <cfRule type="expression" dxfId="83" priority="54" stopIfTrue="1">
      <formula>IF(B11="",TRUE)</formula>
    </cfRule>
    <cfRule type="expression" dxfId="82" priority="57" stopIfTrue="1">
      <formula>IF(AND(COUNTIF(MetalSmelter,B11&amp;C11)=0,LEN(C11)&gt;0), TRUE, FALSE)</formula>
    </cfRule>
  </conditionalFormatting>
  <conditionalFormatting sqref="D11">
    <cfRule type="expression" dxfId="81" priority="51" stopIfTrue="1">
      <formula>IF(AND(LEN($C11) &gt;0, ($C11 &lt;&gt; "Smelter Not Listed")),1,0)</formula>
    </cfRule>
    <cfRule type="expression" dxfId="80" priority="58" stopIfTrue="1">
      <formula>IF(AND(D11="",$C11=$X$4),TRUE)</formula>
    </cfRule>
    <cfRule type="expression" dxfId="79" priority="59" stopIfTrue="1">
      <formula>IF(FIND("!",D11),TRUE)</formula>
    </cfRule>
  </conditionalFormatting>
  <conditionalFormatting sqref="G11">
    <cfRule type="expression" dxfId="78" priority="60" stopIfTrue="1">
      <formula>IF(FIND("Enter smelter details",G11),TRUE)</formula>
    </cfRule>
  </conditionalFormatting>
  <conditionalFormatting sqref="E11">
    <cfRule type="expression" dxfId="77" priority="55" stopIfTrue="1">
      <formula>IF(AND(E11="",$C11=$X$4),TRUE)</formula>
    </cfRule>
    <cfRule type="expression" dxfId="76" priority="56" stopIfTrue="1">
      <formula>IF(FIND("!",E11),TRUE)</formula>
    </cfRule>
  </conditionalFormatting>
  <conditionalFormatting sqref="F11">
    <cfRule type="expression" dxfId="75" priority="53" stopIfTrue="1">
      <formula>IF(AND(LEN($A11)&gt;0,$A11&lt;&gt;$F11),TRUE,FALSE)</formula>
    </cfRule>
  </conditionalFormatting>
  <conditionalFormatting sqref="C11">
    <cfRule type="expression" dxfId="74" priority="52" stopIfTrue="1">
      <formula>IF(AND(B11&lt;&gt;"",C11=""),TRUE)</formula>
    </cfRule>
  </conditionalFormatting>
  <conditionalFormatting sqref="B8">
    <cfRule type="expression" dxfId="73" priority="44" stopIfTrue="1">
      <formula>IF(B8="",TRUE)</formula>
    </cfRule>
    <cfRule type="expression" dxfId="72" priority="47" stopIfTrue="1">
      <formula>IF(AND(COUNTIF(MetalSmelter,B8&amp;C8)=0,LEN(C8)&gt;0), TRUE, FALSE)</formula>
    </cfRule>
  </conditionalFormatting>
  <conditionalFormatting sqref="D8">
    <cfRule type="expression" dxfId="71" priority="41" stopIfTrue="1">
      <formula>IF(AND(LEN($C8) &gt;0, ($C8 &lt;&gt; "Smelter Not Listed")),1,0)</formula>
    </cfRule>
    <cfRule type="expression" dxfId="70" priority="48" stopIfTrue="1">
      <formula>IF(AND(D8="",$C8=$X$4),TRUE)</formula>
    </cfRule>
    <cfRule type="expression" dxfId="69" priority="49" stopIfTrue="1">
      <formula>IF(FIND("!",D8),TRUE)</formula>
    </cfRule>
  </conditionalFormatting>
  <conditionalFormatting sqref="G8">
    <cfRule type="expression" dxfId="68" priority="50" stopIfTrue="1">
      <formula>IF(FIND("Enter smelter details",G8),TRUE)</formula>
    </cfRule>
  </conditionalFormatting>
  <conditionalFormatting sqref="E8">
    <cfRule type="expression" dxfId="67" priority="45" stopIfTrue="1">
      <formula>IF(AND(E8="",$C8=$X$4),TRUE)</formula>
    </cfRule>
    <cfRule type="expression" dxfId="66" priority="46" stopIfTrue="1">
      <formula>IF(FIND("!",E8),TRUE)</formula>
    </cfRule>
  </conditionalFormatting>
  <conditionalFormatting sqref="F8">
    <cfRule type="expression" dxfId="65" priority="43" stopIfTrue="1">
      <formula>IF(AND(LEN($A8)&gt;0,$A8&lt;&gt;$F8),TRUE,FALSE)</formula>
    </cfRule>
  </conditionalFormatting>
  <conditionalFormatting sqref="C8">
    <cfRule type="expression" dxfId="64" priority="42" stopIfTrue="1">
      <formula>IF(AND(B8&lt;&gt;"",C8=""),TRUE)</formula>
    </cfRule>
  </conditionalFormatting>
  <conditionalFormatting sqref="B9">
    <cfRule type="expression" dxfId="63" priority="34" stopIfTrue="1">
      <formula>IF(B9="",TRUE)</formula>
    </cfRule>
    <cfRule type="expression" dxfId="62" priority="37" stopIfTrue="1">
      <formula>IF(AND(COUNTIF(MetalSmelter,B9&amp;C9)=0,LEN(C9)&gt;0), TRUE, FALSE)</formula>
    </cfRule>
  </conditionalFormatting>
  <conditionalFormatting sqref="D9">
    <cfRule type="expression" dxfId="61" priority="31" stopIfTrue="1">
      <formula>IF(AND(LEN($C9) &gt;0, ($C9 &lt;&gt; "Smelter Not Listed")),1,0)</formula>
    </cfRule>
    <cfRule type="expression" dxfId="60" priority="38" stopIfTrue="1">
      <formula>IF(AND(D9="",$C9=$X$4),TRUE)</formula>
    </cfRule>
    <cfRule type="expression" dxfId="59" priority="39" stopIfTrue="1">
      <formula>IF(FIND("!",D9),TRUE)</formula>
    </cfRule>
  </conditionalFormatting>
  <conditionalFormatting sqref="G9">
    <cfRule type="expression" dxfId="58" priority="40" stopIfTrue="1">
      <formula>IF(FIND("Enter smelter details",G9),TRUE)</formula>
    </cfRule>
  </conditionalFormatting>
  <conditionalFormatting sqref="E9">
    <cfRule type="expression" dxfId="57" priority="35" stopIfTrue="1">
      <formula>IF(AND(E9="",$C9=$X$4),TRUE)</formula>
    </cfRule>
    <cfRule type="expression" dxfId="56" priority="36" stopIfTrue="1">
      <formula>IF(FIND("!",E9),TRUE)</formula>
    </cfRule>
  </conditionalFormatting>
  <conditionalFormatting sqref="F9">
    <cfRule type="expression" dxfId="55" priority="33" stopIfTrue="1">
      <formula>IF(AND(LEN($A9)&gt;0,$A9&lt;&gt;$F9),TRUE,FALSE)</formula>
    </cfRule>
  </conditionalFormatting>
  <conditionalFormatting sqref="C9">
    <cfRule type="expression" dxfId="54" priority="32" stopIfTrue="1">
      <formula>IF(AND(B9&lt;&gt;"",C9=""),TRUE)</formula>
    </cfRule>
  </conditionalFormatting>
  <conditionalFormatting sqref="B5">
    <cfRule type="expression" dxfId="53" priority="26" stopIfTrue="1">
      <formula>IF(B5="",TRUE)</formula>
    </cfRule>
    <cfRule type="expression" dxfId="52" priority="27" stopIfTrue="1">
      <formula>IF(AND(COUNTIF(MetalSmelter,B5&amp;C5)=0,LEN(C5)&gt;0), TRUE, FALSE)</formula>
    </cfRule>
  </conditionalFormatting>
  <conditionalFormatting sqref="D5">
    <cfRule type="expression" dxfId="51" priority="23" stopIfTrue="1">
      <formula>IF(AND(LEN($C5) &gt;0, ($C5 &lt;&gt; "Smelter Not Listed")),1,0)</formula>
    </cfRule>
    <cfRule type="expression" dxfId="50" priority="28" stopIfTrue="1">
      <formula>IF(AND(D5="",$C5=$X$4),TRUE)</formula>
    </cfRule>
    <cfRule type="expression" dxfId="49" priority="29" stopIfTrue="1">
      <formula>IF(FIND("!",D5),TRUE)</formula>
    </cfRule>
  </conditionalFormatting>
  <conditionalFormatting sqref="G5">
    <cfRule type="expression" dxfId="48" priority="30" stopIfTrue="1">
      <formula>IF(FIND("Enter smelter details",G5),TRUE)</formula>
    </cfRule>
  </conditionalFormatting>
  <conditionalFormatting sqref="F5">
    <cfRule type="expression" dxfId="47" priority="25" stopIfTrue="1">
      <formula>IF(AND(LEN($A5)&gt;0,$A5&lt;&gt;$F5),TRUE,FALSE)</formula>
    </cfRule>
  </conditionalFormatting>
  <conditionalFormatting sqref="C5">
    <cfRule type="expression" dxfId="46" priority="24" stopIfTrue="1">
      <formula>IF(AND(B5&lt;&gt;"",C5=""),TRUE)</formula>
    </cfRule>
  </conditionalFormatting>
  <conditionalFormatting sqref="E5">
    <cfRule type="expression" dxfId="45" priority="21" stopIfTrue="1">
      <formula>IF(AND(E5="",$C5=$X$4),TRUE)</formula>
    </cfRule>
    <cfRule type="expression" dxfId="44" priority="22" stopIfTrue="1">
      <formula>IF(FIND("!",E5),TRUE)</formula>
    </cfRule>
  </conditionalFormatting>
  <conditionalFormatting sqref="B6">
    <cfRule type="expression" dxfId="43" priority="19" stopIfTrue="1">
      <formula>IF(B6="",TRUE)</formula>
    </cfRule>
    <cfRule type="expression" dxfId="42" priority="20" stopIfTrue="1">
      <formula>IF(AND(COUNTIF(MetalSmelter,B6&amp;C6)=0,LEN(C6)&gt;0), TRUE, FALSE)</formula>
    </cfRule>
  </conditionalFormatting>
  <conditionalFormatting sqref="C6">
    <cfRule type="expression" dxfId="41" priority="18" stopIfTrue="1">
      <formula>IF(AND(B6&lt;&gt;"",C6=""),TRUE)</formula>
    </cfRule>
  </conditionalFormatting>
  <conditionalFormatting sqref="D6">
    <cfRule type="expression" dxfId="40" priority="11" stopIfTrue="1">
      <formula>IF(AND(LEN($C6) &gt;0, ($C6 &lt;&gt; "Smelter Not Listed")),1,0)</formula>
    </cfRule>
    <cfRule type="expression" dxfId="39" priority="15" stopIfTrue="1">
      <formula>IF(AND(D6="",$C6=$X$4),TRUE)</formula>
    </cfRule>
    <cfRule type="expression" dxfId="38" priority="16" stopIfTrue="1">
      <formula>IF(FIND("!",D6),TRUE)</formula>
    </cfRule>
  </conditionalFormatting>
  <conditionalFormatting sqref="G6">
    <cfRule type="expression" dxfId="37" priority="17" stopIfTrue="1">
      <formula>IF(FIND("Enter smelter details",G6),TRUE)</formula>
    </cfRule>
  </conditionalFormatting>
  <conditionalFormatting sqref="E6">
    <cfRule type="expression" dxfId="36" priority="13" stopIfTrue="1">
      <formula>IF(AND(E6="",$C6=$X$4),TRUE)</formula>
    </cfRule>
    <cfRule type="expression" dxfId="35" priority="14" stopIfTrue="1">
      <formula>IF(FIND("!",E6),TRUE)</formula>
    </cfRule>
  </conditionalFormatting>
  <conditionalFormatting sqref="F6">
    <cfRule type="expression" dxfId="34" priority="12" stopIfTrue="1">
      <formula>IF(AND(LEN($A6)&gt;0,$A6&lt;&gt;$F6),TRUE,FALSE)</formula>
    </cfRule>
  </conditionalFormatting>
  <conditionalFormatting sqref="B7">
    <cfRule type="expression" dxfId="33" priority="4" stopIfTrue="1">
      <formula>IF(B7="",TRUE)</formula>
    </cfRule>
    <cfRule type="expression" dxfId="32" priority="7" stopIfTrue="1">
      <formula>IF(AND(COUNTIF(MetalSmelter,B7&amp;C7)=0,LEN(C7)&gt;0), TRUE, FALSE)</formula>
    </cfRule>
  </conditionalFormatting>
  <conditionalFormatting sqref="D7">
    <cfRule type="expression" dxfId="31" priority="1" stopIfTrue="1">
      <formula>IF(AND(LEN($C7) &gt;0, ($C7 &lt;&gt; "Smelter Not Listed")),1,0)</formula>
    </cfRule>
    <cfRule type="expression" dxfId="30" priority="8" stopIfTrue="1">
      <formula>IF(AND(D7="",$C7=$X$4),TRUE)</formula>
    </cfRule>
    <cfRule type="expression" dxfId="29" priority="9" stopIfTrue="1">
      <formula>IF(FIND("!",D7),TRUE)</formula>
    </cfRule>
  </conditionalFormatting>
  <conditionalFormatting sqref="G7">
    <cfRule type="expression" dxfId="28" priority="10" stopIfTrue="1">
      <formula>IF(FIND("Enter smelter details",G7),TRUE)</formula>
    </cfRule>
  </conditionalFormatting>
  <conditionalFormatting sqref="E7">
    <cfRule type="expression" dxfId="27" priority="5" stopIfTrue="1">
      <formula>IF(AND(E7="",$C7=$X$4),TRUE)</formula>
    </cfRule>
    <cfRule type="expression" dxfId="26" priority="6" stopIfTrue="1">
      <formula>IF(FIND("!",E7),TRUE)</formula>
    </cfRule>
  </conditionalFormatting>
  <conditionalFormatting sqref="F7">
    <cfRule type="expression" dxfId="25" priority="3" stopIfTrue="1">
      <formula>IF(AND(LEN($A7)&gt;0,$A7&lt;&gt;$F7),TRUE,FALSE)</formula>
    </cfRule>
  </conditionalFormatting>
  <conditionalFormatting sqref="C7">
    <cfRule type="expression" dxfId="24" priority="2" stopIfTrue="1">
      <formula>IF(AND(B7&lt;&gt;"",C7=""),TRUE)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58" activePane="bottomRight" state="frozen"/>
      <selection pane="topRight" activeCell="B1" sqref="B1"/>
      <selection pane="bottomLeft" activeCell="A4" sqref="A4"/>
      <selection pane="bottomRight" sqref="A1:C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Riedon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Company wide</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Scott Brooker</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scott@riedon.com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626 284-9901</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Greg Wood</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greg@riedon.com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626 284-9901</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43607</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https//riedon.com/media/pdf-tech/Conflict Minerals Policy.pdf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Yes, using other format (describe)</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54"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9"/>
    </row>
    <row r="2" spans="1:6">
      <c r="A2" s="29"/>
      <c r="B2" s="151"/>
      <c r="C2" s="151"/>
      <c r="D2"/>
      <c r="E2" s="30"/>
    </row>
    <row r="3" spans="1:6">
      <c r="A3" s="29"/>
      <c r="B3" s="151"/>
      <c r="C3" s="151"/>
      <c r="D3" s="151"/>
      <c r="E3" s="30"/>
    </row>
    <row r="4" spans="1:6" ht="15.75" customHeight="1">
      <c r="A4" s="29"/>
      <c r="B4" s="443" t="s">
        <v>1014</v>
      </c>
      <c r="C4" s="443"/>
      <c r="D4" s="443"/>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6" t="str">
        <f ca="1">OFFSET(L!$C$1,MATCH("General"&amp;"Cpy",L!$A:$A,0)-1,SL,,)</f>
        <v>© 2019 Responsible Minerals Initiative. All rights reserved.</v>
      </c>
      <c r="C1001" s="446"/>
      <c r="D1001" s="446"/>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20"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Scott Brooker</cp:lastModifiedBy>
  <cp:lastPrinted>2019-08-01T17:15:16Z</cp:lastPrinted>
  <dcterms:created xsi:type="dcterms:W3CDTF">2010-06-21T21:00:23Z</dcterms:created>
  <dcterms:modified xsi:type="dcterms:W3CDTF">2019-08-01T17:29:13Z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